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0191107" sheetId="1" r:id="rId1"/>
    <sheet name="Poznámky" sheetId="3" r:id="rId2"/>
  </sheets>
  <definedNames>
    <definedName name="_xlnm._FilterDatabase" localSheetId="0" hidden="1">'20191107'!$A$1:$V$686</definedName>
    <definedName name="_xlnm.Print_Titles" localSheetId="0">'20191107'!$1:$1</definedName>
  </definedNames>
  <calcPr calcId="145621"/>
</workbook>
</file>

<file path=xl/calcChain.xml><?xml version="1.0" encoding="utf-8"?>
<calcChain xmlns="http://schemas.openxmlformats.org/spreadsheetml/2006/main">
  <c r="S686" i="1" l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</calcChain>
</file>

<file path=xl/sharedStrings.xml><?xml version="1.0" encoding="utf-8"?>
<sst xmlns="http://schemas.openxmlformats.org/spreadsheetml/2006/main" count="7428" uniqueCount="3424">
  <si>
    <t>Document ID</t>
  </si>
  <si>
    <t>Title</t>
  </si>
  <si>
    <t>PrintIsbn</t>
  </si>
  <si>
    <t>EIsbn</t>
  </si>
  <si>
    <t>Date Added</t>
  </si>
  <si>
    <t>Document Type</t>
  </si>
  <si>
    <t>Title Edition</t>
  </si>
  <si>
    <t>Series Title</t>
  </si>
  <si>
    <t>Authors</t>
  </si>
  <si>
    <t>Subject</t>
  </si>
  <si>
    <t>Lcc</t>
  </si>
  <si>
    <t>Dewey</t>
  </si>
  <si>
    <t>Lcsh</t>
  </si>
  <si>
    <t>Language</t>
  </si>
  <si>
    <t>DDA Available</t>
  </si>
  <si>
    <t>Full Download Available</t>
  </si>
  <si>
    <t>EPUB Full Download Only</t>
  </si>
  <si>
    <t>STL Available</t>
  </si>
  <si>
    <t>DRM Free Available for Sale</t>
  </si>
  <si>
    <t>Full MARC Available</t>
  </si>
  <si>
    <t>Development of Test Baterries for Diagnostics of Motor Laterality Manifestation : Link Between Cerebellar Dominance and Hand Performance</t>
  </si>
  <si>
    <t>Charles University in Prague, Karolinum Press</t>
  </si>
  <si>
    <t>2014-03-01</t>
  </si>
  <si>
    <t>2015-04-10</t>
  </si>
  <si>
    <t>Book</t>
  </si>
  <si>
    <t>Musálek, Martin</t>
  </si>
  <si>
    <t>Psychology</t>
  </si>
  <si>
    <t>BF637.L36 -- .M873 2014eb</t>
  </si>
  <si>
    <t>152.335</t>
  </si>
  <si>
    <t>Laterality -- Physiological aspects.;Neuropsychiatry -- Popular works.</t>
  </si>
  <si>
    <t>English</t>
  </si>
  <si>
    <t>Yes</t>
  </si>
  <si>
    <t>No</t>
  </si>
  <si>
    <t>Dětské Hry - Games</t>
  </si>
  <si>
    <t>2010-08-01</t>
  </si>
  <si>
    <t>Kučera, Milos;Klusák, Miroslav</t>
  </si>
  <si>
    <t>Literature; Language/Linguistics</t>
  </si>
  <si>
    <t>PG5027</t>
  </si>
  <si>
    <t>Children's plays, Czech.</t>
  </si>
  <si>
    <t>Czech</t>
  </si>
  <si>
    <t>Ekonomie Rodiny V Promenách Casu, Institucí a Hodnot</t>
  </si>
  <si>
    <t>2013-12-01</t>
  </si>
  <si>
    <t>Mlcoch, Lubomir</t>
  </si>
  <si>
    <t>Social Science</t>
  </si>
  <si>
    <t>HQ518.M64 2014</t>
  </si>
  <si>
    <t>306.85</t>
  </si>
  <si>
    <t>Families -- Economic aspects.;Family policy.</t>
  </si>
  <si>
    <t>Do Poslední Pence</t>
  </si>
  <si>
    <t>2007-03-01</t>
  </si>
  <si>
    <t>Kuklík, Jan</t>
  </si>
  <si>
    <t>Business/Management; Economics</t>
  </si>
  <si>
    <t>HF1542.3 -- .K855 2007eb</t>
  </si>
  <si>
    <t>337.437</t>
  </si>
  <si>
    <t>World War, 1939-1945 -- Confiscations and contributions -- Czechoslovakia.;World War, 1939-1945 -- Confiscations and contributions -- Great Britain.;Czechoslovakia -- Foreign economic relations -- Great Britain.;Great Britain -- Foreign economic relations -- Czechoslovakia.;Czechoslovakia -- Foreign relations -- Great Britain.;Great Britain -- Foreign relations -- Czechoslovakia.</t>
  </si>
  <si>
    <t>Farmaceutická Chemie LéčIv PůSobících Na Centrální Nervový Systém</t>
  </si>
  <si>
    <t>2013-10-01</t>
  </si>
  <si>
    <t>Doležal, Martin</t>
  </si>
  <si>
    <t>Pharmacy; Medicine</t>
  </si>
  <si>
    <t>RS403</t>
  </si>
  <si>
    <t>615.19</t>
  </si>
  <si>
    <t>MEDICAL / Pharmacology.;Neuropharmacology.;Pharmaceutical chemistry.</t>
  </si>
  <si>
    <t>Denuklearizace Ukrajiny, Běloruska a Kazachstánu</t>
  </si>
  <si>
    <t>2012-05-01</t>
  </si>
  <si>
    <t>Sír, Jan</t>
  </si>
  <si>
    <t>Political Science</t>
  </si>
  <si>
    <t>JX1974.73 -- .S57 2013eb</t>
  </si>
  <si>
    <t>327.174</t>
  </si>
  <si>
    <t>Nuclear nonproliferation -- Former Soviet republics.;Nuclear disarmament -- Ukraine.;Nuclear disarmament -- Belarus.;Nuclear disarmament -- Kazakhstan.</t>
  </si>
  <si>
    <t>Faust Jako Stav Zadlužení : Desetkrát o Faustovi, Pokaždé Jinak</t>
  </si>
  <si>
    <t>2016-08-01</t>
  </si>
  <si>
    <t>Dramatica</t>
  </si>
  <si>
    <t>Just, Vladimír</t>
  </si>
  <si>
    <t>Literature</t>
  </si>
  <si>
    <t>PT937 -- .J878 2014eb</t>
  </si>
  <si>
    <t>809.93351</t>
  </si>
  <si>
    <t>Faust, -- -approximately 1540 -- Legends -- History and criticism.;German literature -- Early modern, 1500-1700 -- History and criticism.</t>
  </si>
  <si>
    <t>Dolnosrbská Mluvnice</t>
  </si>
  <si>
    <t>2011-06-01</t>
  </si>
  <si>
    <t>Janas, Pětr</t>
  </si>
  <si>
    <t>Language/Linguistics</t>
  </si>
  <si>
    <t>PG5639 -- .J363 2011eb</t>
  </si>
  <si>
    <t>491.8815</t>
  </si>
  <si>
    <t>Sorbian languages -- Grammar.</t>
  </si>
  <si>
    <t>Česky Psané časopisy Pro Děti (1850-1989)</t>
  </si>
  <si>
    <t>2014-06-01</t>
  </si>
  <si>
    <t>Svec, Stefan</t>
  </si>
  <si>
    <t>Journalism; Literature</t>
  </si>
  <si>
    <t>PN4835 .S384 2014</t>
  </si>
  <si>
    <t>808.209384745</t>
  </si>
  <si>
    <t>Children's periodicals.;English literature -- 20th century -- History and criticism.;Periodicals -- Publishing -- Czech Republic.</t>
  </si>
  <si>
    <t>The Evolution Myth : Or the Genes Cry Out Their Urgent Song, Mister Darwin Got It Wrong</t>
  </si>
  <si>
    <t>2014-10-01</t>
  </si>
  <si>
    <t>Mejsnar, Jiří A.</t>
  </si>
  <si>
    <t>Science: Biology/Natural History; Science</t>
  </si>
  <si>
    <t>QH366.2</t>
  </si>
  <si>
    <t>576.8</t>
  </si>
  <si>
    <t>Adaptation (Biology).;Creationism.;Evolution (Biology).;Natural selection.</t>
  </si>
  <si>
    <t>Česká Morfologie a Korpusy</t>
  </si>
  <si>
    <t>Osolsobě, Klára</t>
  </si>
  <si>
    <t>P241 .O865 2014</t>
  </si>
  <si>
    <t>415.9</t>
  </si>
  <si>
    <t>Czech language -- Morphology.;Grammar, Comparative and general -- Inflection.;Grammar, Comparative and general -- Morphology.;Linguistics -- Fieldwork.</t>
  </si>
  <si>
    <t>Česká Města a Jejich Správa Za Třicetileté Války : Zemský a Lokální Kontext</t>
  </si>
  <si>
    <t>2014-02-01</t>
  </si>
  <si>
    <t>Ďurčanský, Marek</t>
  </si>
  <si>
    <t>JS4726 .D873 2013</t>
  </si>
  <si>
    <t>352.0439;352.04391</t>
  </si>
  <si>
    <t>Bohemia (Czech Republic) -- History -- 1618-1848.;Cities and towns -- Czech Republic -- Bohemia -- History -- 17th century.;Czech Republic.;Municipal government -- Czech Republic -- Bohemia -- History -- 17th century.;Municipal government -- Czech Republic -- Brandýs nad Labem -- History -- 17th century.;Municipal government -- Czech Republic -- Čelákovice -- History -- 17th century.;Municipal government -- Czech Republic -- Nymburk -- History -- 17th century.;Municipal government.</t>
  </si>
  <si>
    <t>Česká Filharmonie Pod Tlakem Stalinské Kulturní Politiky V Padesátých Letech</t>
  </si>
  <si>
    <t>2014-04-01</t>
  </si>
  <si>
    <t>Iblová, Michaela</t>
  </si>
  <si>
    <t>History</t>
  </si>
  <si>
    <t>DK268.4</t>
  </si>
  <si>
    <t>947.084/2</t>
  </si>
  <si>
    <t>Česká filharmonie.;MUSIC / Musical Instruments / General.;MUSIC / Printed Music / Band &amp; Orchestra.;Stalin, Joseph, 1879-1953--Influence.</t>
  </si>
  <si>
    <t>Environmentally Significant Behaviour in the Czech Republic: Energy, Food and Transportation</t>
  </si>
  <si>
    <t>2013-05-01</t>
  </si>
  <si>
    <t>Sčasný, Milan;Urban, Jan;Zvěřinová, Iva</t>
  </si>
  <si>
    <t>Medicine; Social Science; Health</t>
  </si>
  <si>
    <t>RA566.5.C94 -- S33 2013eb</t>
  </si>
  <si>
    <t>Environmental health -- Czech Republic.;Czech Republic -- Environmental conditions -- Periodicals.</t>
  </si>
  <si>
    <t>English for Pharmacy and Medical Bioanalytics</t>
  </si>
  <si>
    <t>2014-11-01</t>
  </si>
  <si>
    <t>Havlíčková, Ilona;Dostálová, Sárka;Katerová, Zuzana</t>
  </si>
  <si>
    <t>Medicine</t>
  </si>
  <si>
    <t>RB112.5 -- .H385 2014eb</t>
  </si>
  <si>
    <t>616.07</t>
  </si>
  <si>
    <t>Clinical biochemistry.</t>
  </si>
  <si>
    <t>Birth of the State : Ancient Egypt, Mesopotamia, India and China</t>
  </si>
  <si>
    <t>2013-12-15</t>
  </si>
  <si>
    <t>Charvát, Petr</t>
  </si>
  <si>
    <t>Political Science; Social Science</t>
  </si>
  <si>
    <t>GN492.6 -- .C437 2013eb</t>
  </si>
  <si>
    <t>320.1</t>
  </si>
  <si>
    <t>State, The -- Origin.;Civilization, Ancient.;Cities and towns, Ancient.</t>
  </si>
  <si>
    <t>Around the Globe. Rethinking Oral History with Its Protagonists : Rethinking Oral History with Its Protagonists</t>
  </si>
  <si>
    <t>2013-10-15</t>
  </si>
  <si>
    <t>Vanìk, Miroslav</t>
  </si>
  <si>
    <t>History; Geography/Travel</t>
  </si>
  <si>
    <t>D16.14 -- .V364 2013eb</t>
  </si>
  <si>
    <t>907.2</t>
  </si>
  <si>
    <t>Oral history.</t>
  </si>
  <si>
    <t>Bezdomovectví Jako Alternativní Existence Mladých Lidí</t>
  </si>
  <si>
    <t>Vágnerová, Marie;Csémy, Ladislav;Marek, Jakub</t>
  </si>
  <si>
    <t>HV1441.G3 -- .V346 2013eb</t>
  </si>
  <si>
    <t>362.7086942</t>
  </si>
  <si>
    <t>Homeless youth -- Czech Republic -- Social conditions.;Homelessness -- Czech Republic.</t>
  </si>
  <si>
    <t>Cizinec V Tvých Branách : Biblické Podněty Pro Etickou Reflexi Migrace</t>
  </si>
  <si>
    <t>2011-02-01</t>
  </si>
  <si>
    <t>Stica, Petr</t>
  </si>
  <si>
    <t>Religion</t>
  </si>
  <si>
    <t>BL2530 .C2</t>
  </si>
  <si>
    <t>200.971;200.97109051</t>
  </si>
  <si>
    <t>Christian ethics.;Emigration and immigration -- Religious aspects.;Immigrants -- Religious life -- Moral and ethical aspects.</t>
  </si>
  <si>
    <t>90 Let Pražské Polonistiky - dějiny a Současnost</t>
  </si>
  <si>
    <t>Rusin Dybalska, Renata;Zakopalová, Lucie;Zakopalová, Lucie</t>
  </si>
  <si>
    <t>PG7011.A2 -- .B464 2013eb</t>
  </si>
  <si>
    <t>891.8509</t>
  </si>
  <si>
    <t>Polonist -- Biography.;Polish philology -- Study and teaching (Higher) -- Czech Republic -- Prague -- History.</t>
  </si>
  <si>
    <t>Contemporary Funeral Rituals of Sa'dan Toraja. From Aluk Todolo to "New" Religions : From Aluk Todolo to "New" Religions</t>
  </si>
  <si>
    <t>Budiman, Michaela</t>
  </si>
  <si>
    <t>History; Religion</t>
  </si>
  <si>
    <t>DS632.T7 -- .B835 2013eb</t>
  </si>
  <si>
    <t>299.92</t>
  </si>
  <si>
    <t>Toraja (Indonesian people) -- Funeral customs and rites.</t>
  </si>
  <si>
    <t>Checoslovaquia, Guatemala y México en el período de la Revolución Guatemalteca : Ibero-Americana Pragensia - Supplementum 32/2013</t>
  </si>
  <si>
    <t>2014-09-01</t>
  </si>
  <si>
    <t>Perutka, Lukás</t>
  </si>
  <si>
    <t>F1466 -- .P478 2014eb</t>
  </si>
  <si>
    <t>972.81</t>
  </si>
  <si>
    <t>Guatemala -- History.;Czechoslovakia -- Foreign relations -- Guatemala.;Guatemala -- Foreign relations -- Czechoslovakia.;Guatemala -- Foreign relations -- Mexico.;Mexico -- Foreign relations -- Guatemala.</t>
  </si>
  <si>
    <t>Spanish; Castilian</t>
  </si>
  <si>
    <t>Catalogue of the Late Roman, Byzantine and Barbaric Coins in the Charles University Collection (364 - 1092 A.D.)</t>
  </si>
  <si>
    <t>Gambacorta, Federico</t>
  </si>
  <si>
    <t>Fine Arts; History</t>
  </si>
  <si>
    <t>CJ969 -- .G363 2013eb</t>
  </si>
  <si>
    <t>737.4937</t>
  </si>
  <si>
    <t>Coins, Roman -- Czech Republic -- Prague -- Catalogs.;Coins, Byzantine -- Czech Republic -- Prague -- Catalogs.</t>
  </si>
  <si>
    <t>Cesty Za Smyslem Literárního Díla</t>
  </si>
  <si>
    <t>2005-11-01</t>
  </si>
  <si>
    <t>Jankovič, Milan</t>
  </si>
  <si>
    <t>Language/Linguistics; Literature</t>
  </si>
  <si>
    <t>PG5002 -- .J365 2005eb</t>
  </si>
  <si>
    <t>891.8609</t>
  </si>
  <si>
    <t>Czech literature -- History and criticism -- Theory, etc.;Semantics -- History.;Meaning (Philosophy) -- History.;Structuralism (Literary analysis)</t>
  </si>
  <si>
    <t>The Chattertooth Eleven</t>
  </si>
  <si>
    <t>2009-02-01</t>
  </si>
  <si>
    <t>Modern Czech Classics Ser.</t>
  </si>
  <si>
    <t>Bass, Eduard</t>
  </si>
  <si>
    <t>PZ7.D9893 -- .B377 2014eb</t>
  </si>
  <si>
    <t>813.54</t>
  </si>
  <si>
    <t>Football stories.</t>
  </si>
  <si>
    <t>Behind the Lines : Bugulma and Other Stories</t>
  </si>
  <si>
    <t>2012-06-15</t>
  </si>
  <si>
    <t xml:space="preserve">Hašek, Jaroslav;Corner, Mark </t>
  </si>
  <si>
    <t>PG5038.H28 -- .H374 2012eb</t>
  </si>
  <si>
    <t>891.8634</t>
  </si>
  <si>
    <t>Hašek, Jaroslav, -- 1883-1923 -- Translations into English.;Soviet Union -- History -- Revolution, 1917-1921 -- Fiction.</t>
  </si>
  <si>
    <t>Central Nervous System : Overview of Anatomy</t>
  </si>
  <si>
    <t>2013-01-01</t>
  </si>
  <si>
    <t>Valenta, Jiří;Fiala, Pavel</t>
  </si>
  <si>
    <t>Science: Anatomy/Physiology; Science; Science: Biology/Natural History</t>
  </si>
  <si>
    <t>QP370 -- .V354 2012eb</t>
  </si>
  <si>
    <t>612.82</t>
  </si>
  <si>
    <t>Central nervous system -- Physiology.</t>
  </si>
  <si>
    <t>Clinical Endocrinology and Diagnostic Imaging</t>
  </si>
  <si>
    <t>2014-05-01</t>
  </si>
  <si>
    <t>Brunová, Jana;Bruna, Josef</t>
  </si>
  <si>
    <t>RC649 -- .B786 2014eb</t>
  </si>
  <si>
    <t>616.40754</t>
  </si>
  <si>
    <t>Endocrine glands -- Imaging.;Endocrine glands -- Diseases -- Diagnosis.</t>
  </si>
  <si>
    <t>Bohemistické Miniatury</t>
  </si>
  <si>
    <t>2013-02-01</t>
  </si>
  <si>
    <t>Hrdlička, Milan</t>
  </si>
  <si>
    <t>PG4111 -- .H735 2013eb</t>
  </si>
  <si>
    <t>491.8682421</t>
  </si>
  <si>
    <t>Czech language -- Grammar.</t>
  </si>
  <si>
    <t>Atlas Ortopedické Tuberkulózy</t>
  </si>
  <si>
    <t>Netval, Miroslav;Chocholáč, Dalimil</t>
  </si>
  <si>
    <t>RD733.2 -- .N488 2014eb</t>
  </si>
  <si>
    <t>617.3</t>
  </si>
  <si>
    <t>Orthopedics -- Atlases.</t>
  </si>
  <si>
    <t>Bílá Hora</t>
  </si>
  <si>
    <t>2013-11-01</t>
  </si>
  <si>
    <t>Chaline, Olivier</t>
  </si>
  <si>
    <t>DB2162</t>
  </si>
  <si>
    <t>943.041</t>
  </si>
  <si>
    <t>HISTORY / Europe / Western.;White Mountain, Battle of, Czech Republic, 1620.</t>
  </si>
  <si>
    <t>Chapters of European Economic History</t>
  </si>
  <si>
    <t>Evan, Tomáš</t>
  </si>
  <si>
    <t>D103 -- .E936 2014eb</t>
  </si>
  <si>
    <t>Europe -- History -- Economic aspects.</t>
  </si>
  <si>
    <t>Geriatrická Problematika V Pastorální Péči</t>
  </si>
  <si>
    <t>2014-01-01</t>
  </si>
  <si>
    <t>Brzáková Beksová, Kateřina</t>
  </si>
  <si>
    <t>Medicine; Philosophy</t>
  </si>
  <si>
    <t>RC327</t>
  </si>
  <si>
    <t>179/.1</t>
  </si>
  <si>
    <t>Bioethics -- Religious aspects -- Christianity.;Bioethics -- Religious aspects.;Medical ethics -- Religious aspects -- Christianity.;Medical ethics -- Religious aspects.;Pastoral care.</t>
  </si>
  <si>
    <t>Hudební Psychologie Pro Učitele</t>
  </si>
  <si>
    <t>2013-07-01</t>
  </si>
  <si>
    <t>Sedlák, Frantisek;Váňová, Hana</t>
  </si>
  <si>
    <t>Fine Arts</t>
  </si>
  <si>
    <t>MT1 -- .S435 2013eb</t>
  </si>
  <si>
    <t>780.71</t>
  </si>
  <si>
    <t>Music -- Instruction and study.;Music -- Psychological aspects.;Educational psychology.</t>
  </si>
  <si>
    <t>Instrumentality and values in sport</t>
  </si>
  <si>
    <t>Parry Martínková, Irena</t>
  </si>
  <si>
    <t>Sport &amp;amp; Recreation</t>
  </si>
  <si>
    <t>GV706 -- .M378 2013eb</t>
  </si>
  <si>
    <t>796.01</t>
  </si>
  <si>
    <t>Sports -- Philosophy.</t>
  </si>
  <si>
    <t>Jazyk a Jazykověda</t>
  </si>
  <si>
    <t>2011-09-01</t>
  </si>
  <si>
    <t>Čermák, Frantisek</t>
  </si>
  <si>
    <t>P61</t>
  </si>
  <si>
    <t>Applied linguistics.;Language and languages.;Linguistics.</t>
  </si>
  <si>
    <t>Formy Citů - Lacanovská Teorie : Lacanovská teorie</t>
  </si>
  <si>
    <t>2008-03-01</t>
  </si>
  <si>
    <t>Kučera, Milos</t>
  </si>
  <si>
    <t>Education</t>
  </si>
  <si>
    <t>LB1028 -- .K834 2008eb</t>
  </si>
  <si>
    <t>370.72</t>
  </si>
  <si>
    <t>Education -- Research.;Sociometry.</t>
  </si>
  <si>
    <t>Jandavlattepa : The Excavation Report for Seasons 2002-2006 VOL.1</t>
  </si>
  <si>
    <t>2012-04-15</t>
  </si>
  <si>
    <t xml:space="preserve">Stanco, Ladislav;Abdullaev, Kazim </t>
  </si>
  <si>
    <t>CC75 -- .J363 2011eb</t>
  </si>
  <si>
    <t>Excavations (Archaeology);Excavations (Archaeology) -- Uzbekistan.;Jandavlattepa Site (Uzbekistan)</t>
  </si>
  <si>
    <t>Granadské Elity V 15. Století</t>
  </si>
  <si>
    <t>Ženka, Josef</t>
  </si>
  <si>
    <t>DP402.G6 -- .Z465 2011eb</t>
  </si>
  <si>
    <t>946.82</t>
  </si>
  <si>
    <t>Granada Region (Spain) -- History.</t>
  </si>
  <si>
    <t>Introducao Ao Portugues Juridico : Úvod Do Právnické Portugalstiny</t>
  </si>
  <si>
    <t>2012-11-01</t>
  </si>
  <si>
    <t>de Sousa Coelho Ramos, Joaquim José</t>
  </si>
  <si>
    <t>Law</t>
  </si>
  <si>
    <t>K583 .S384 2012</t>
  </si>
  <si>
    <t>341.2093764</t>
  </si>
  <si>
    <t>Human rights -- Portugal.;Law -- Portugal -- History.;Law.</t>
  </si>
  <si>
    <t>Portuguese</t>
  </si>
  <si>
    <t>La Identidad Cultural de Los Nahuas de la Sierra Nororiental de Puebla y la Influencia de la Unión de Cooperativas Tosepan : Ibero-Americana Pragensia Supplementum 34</t>
  </si>
  <si>
    <t>Bernkopfová, Michala</t>
  </si>
  <si>
    <t>History; Social Science</t>
  </si>
  <si>
    <t>F1392.A1 .B476 2014</t>
  </si>
  <si>
    <t>305.800972</t>
  </si>
  <si>
    <t>Mexico-Ethnic relations.</t>
  </si>
  <si>
    <t>Hygiena, Preventivní lékařství a Veřejné Zdravotnictví</t>
  </si>
  <si>
    <t>Müllerová, Dana</t>
  </si>
  <si>
    <t>Social Science; Health</t>
  </si>
  <si>
    <t>RA421</t>
  </si>
  <si>
    <t>Health behavior.;Health promotion.;Medicine, Preventive.;Preventive health services.</t>
  </si>
  <si>
    <t>Jazyk, Mluvení, Psaní</t>
  </si>
  <si>
    <t>Sgall, Petr</t>
  </si>
  <si>
    <t>PG4074.8</t>
  </si>
  <si>
    <t>491.86</t>
  </si>
  <si>
    <t>Czech language -- Dependency grammar.;Czech language -- Grammar.;Czech language -- Orthography and spelling.;Czech language -- Spoken Czech.</t>
  </si>
  <si>
    <t>Integrovaný Záchranný Systém ČR Na Počátku 21. Století</t>
  </si>
  <si>
    <t>Vilásek, Josef;Fiala, Milos;Vondrásek, David</t>
  </si>
  <si>
    <t>RC86.7</t>
  </si>
  <si>
    <t>616.025</t>
  </si>
  <si>
    <t>Emergency medicine.</t>
  </si>
  <si>
    <t>Jak Se Vyrábí Sociologická Znalost</t>
  </si>
  <si>
    <t>2011-07-01</t>
  </si>
  <si>
    <t>Disman, Miroslav</t>
  </si>
  <si>
    <t>H62</t>
  </si>
  <si>
    <t>301.072</t>
  </si>
  <si>
    <t>Sociological Methodology - sociological research - statistical methods.;Sociological Methodology.</t>
  </si>
  <si>
    <t>Generalized Microeconomics</t>
  </si>
  <si>
    <t>Hlaváček, Jiří;Hlaváček, Michal</t>
  </si>
  <si>
    <t>HB172 -- .H538 2013eb</t>
  </si>
  <si>
    <t>338.5</t>
  </si>
  <si>
    <t>Microeconomics.</t>
  </si>
  <si>
    <t>Historické Vědomí Obyvatel České Republiky Perspektivou Sociologického Výzkumu</t>
  </si>
  <si>
    <t>Subrt, Jiří;Vinopal, Jiří</t>
  </si>
  <si>
    <t>DB2068 .S827 2013</t>
  </si>
  <si>
    <t>943.7/1</t>
  </si>
  <si>
    <t>Collective memory -- Czech Republic.;Czech Republic -- History -- Philosophy.;Social sciences and history -- Czech Republic.</t>
  </si>
  <si>
    <t>Fyziologie Dýchání</t>
  </si>
  <si>
    <t>Slavíková, Jana;Svíglerová, Jitka</t>
  </si>
  <si>
    <t>Science; Science: Biology/Natural History; Science: Anatomy/Physiology</t>
  </si>
  <si>
    <t>QP121</t>
  </si>
  <si>
    <t>612.2</t>
  </si>
  <si>
    <t>Respiration.;Respiratory Physiological Phenomena.</t>
  </si>
  <si>
    <t>Mor 1480-1730 : Epidemie V lékařských Traktátech Raného Novověku</t>
  </si>
  <si>
    <t>Černý, Karel</t>
  </si>
  <si>
    <t>Health; Medicine</t>
  </si>
  <si>
    <t>RC172 .C476 2014</t>
  </si>
  <si>
    <t>614.5/732</t>
  </si>
  <si>
    <t>Epidemics -- Europe -- History.;Medicine -- Europe -- History.;Plague -- Etiology -- History.;Plague -- Europe -- History -- 15th century.;Plague -- Europe -- History -- 16th century.;Plague -- Europe -- History -- 17th century.;Plague -- Europe -- History -- 18th century.;Plague -- Europe -- History.</t>
  </si>
  <si>
    <t>Navigátor Bezpečného úvěru</t>
  </si>
  <si>
    <t>2013-09-01</t>
  </si>
  <si>
    <t>Teplý, Petr</t>
  </si>
  <si>
    <t>Economics; Business/Management</t>
  </si>
  <si>
    <t>HG3756</t>
  </si>
  <si>
    <t>332.7/43</t>
  </si>
  <si>
    <t>Consumer credit -- Czech Republic.;Consumer credit.;Loans -- Czech Republic.</t>
  </si>
  <si>
    <t>Mocenská Posedlost</t>
  </si>
  <si>
    <t>2010-05-01</t>
  </si>
  <si>
    <t>Koukolík, Frantisek</t>
  </si>
  <si>
    <t>Philosophy</t>
  </si>
  <si>
    <t>BD450 -- .K685 2010eb</t>
  </si>
  <si>
    <t>Philosophical anthropology -- History.;Power (Social sciences) -- Philosophy.;Regression (Civilization)</t>
  </si>
  <si>
    <t>Návody K Základním Praktickým Cvičením Z Farmaceutické Technologie</t>
  </si>
  <si>
    <t>Řehula, Milan</t>
  </si>
  <si>
    <t>Medicine; Pharmacy</t>
  </si>
  <si>
    <t>RS192</t>
  </si>
  <si>
    <t>615.3</t>
  </si>
  <si>
    <t>Drug delivery systems.;Drug development.;Pharmaceutical technology.</t>
  </si>
  <si>
    <t>Člověče, Bylo Ti Oznámeno, Co Je Dobré... : Česká Katolická Morální Teologie 1884-1948</t>
  </si>
  <si>
    <t>2011-12-01</t>
  </si>
  <si>
    <t>Ovečka, Libor</t>
  </si>
  <si>
    <t>Religion; Philosophy</t>
  </si>
  <si>
    <t>BJ1251</t>
  </si>
  <si>
    <t>171.1;241</t>
  </si>
  <si>
    <t>Christian ethics -- Czech Republic -- History.;Christian ethics.;Theology.</t>
  </si>
  <si>
    <t>O Komentáři, o Komentátorech</t>
  </si>
  <si>
    <t>Osvaldová, Barbora</t>
  </si>
  <si>
    <t>Journalism</t>
  </si>
  <si>
    <t>PN4775</t>
  </si>
  <si>
    <t>070.4</t>
  </si>
  <si>
    <t>Broadcasting.;Interpersonal communication.;Journalism -- Handbooks, manuals, etc.;Journalism.</t>
  </si>
  <si>
    <t>Odvaha Být Církví : Josef Zvěřina V Letech 1913-1967</t>
  </si>
  <si>
    <t>Novotný, Vojtěch</t>
  </si>
  <si>
    <t>BV4637</t>
  </si>
  <si>
    <t>234.2</t>
  </si>
  <si>
    <t>Faith.;Symbosism.;Zvěřina, Josef, 1913-</t>
  </si>
  <si>
    <t>Metodologie Sociálních Věd</t>
  </si>
  <si>
    <t>Ochrana, Frantisek</t>
  </si>
  <si>
    <t>H61</t>
  </si>
  <si>
    <t>301.01;301.018</t>
  </si>
  <si>
    <t>Social sciences -- Methodology.;Social sciences -- Research.;Social sciences.</t>
  </si>
  <si>
    <t>Metuzalém : O Stárnutí a Stáří</t>
  </si>
  <si>
    <t>Science; Social Science; Health; Science: Anatomy/Physiology</t>
  </si>
  <si>
    <t>RA564.8</t>
  </si>
  <si>
    <t>Aging -- Health aspects -- Czech Republic.;Older people -- Czech Republic -- Social conditions.;Older people -- Moral and ethical aspects -- Czech Republic.</t>
  </si>
  <si>
    <t>O Komparativní Politologii a Současné české Politice : Miroslavu Novákovi K Sedesátinám</t>
  </si>
  <si>
    <t>Kubát, Michal;Lebeda, Tomás</t>
  </si>
  <si>
    <t>JN2229</t>
  </si>
  <si>
    <t>329.9;329.9437</t>
  </si>
  <si>
    <t>Czech Republic -- Politics and government -- 1993-;Political parties -- Czech Republic.;Political science.;Public opinion -- Czech Republic.</t>
  </si>
  <si>
    <t>Of Mice and Mooshaber</t>
  </si>
  <si>
    <t xml:space="preserve">Fuks, Ladislav;Corner, Mark </t>
  </si>
  <si>
    <t>PN3448.P8 -- .F857 2014eb</t>
  </si>
  <si>
    <t>891.86354</t>
  </si>
  <si>
    <t>Psychological fiction.</t>
  </si>
  <si>
    <t>Nemoci Z Povolání a Intoxikace</t>
  </si>
  <si>
    <t>Pelclová, Daniela</t>
  </si>
  <si>
    <t>RC964 -- .P453 2014eb</t>
  </si>
  <si>
    <t>616.9803</t>
  </si>
  <si>
    <t>Occupational diseases -- Czech Republic.;Occupational therapy -- Czech Republic.</t>
  </si>
  <si>
    <t>Neonatologie</t>
  </si>
  <si>
    <t>Dort, Jiří;Dortová, Eva;Jehlička, Petr</t>
  </si>
  <si>
    <t>RJ251 -- .D678 2013eb</t>
  </si>
  <si>
    <t>618.9201</t>
  </si>
  <si>
    <t>Neonatology.;Newborn infants.</t>
  </si>
  <si>
    <t>Odborné a Pedagogické Praxe Ve Sportu a Tělesné Výchově</t>
  </si>
  <si>
    <t>Tilinger, Pavel</t>
  </si>
  <si>
    <t>Sport &amp;amp; Recreation; Health</t>
  </si>
  <si>
    <t>GV211</t>
  </si>
  <si>
    <t>613.71</t>
  </si>
  <si>
    <t>Physical education and training.;Sports sciences.;Sports.</t>
  </si>
  <si>
    <t>Ohniska Napětí V Postkoloniální Africe</t>
  </si>
  <si>
    <t>2012-04-01</t>
  </si>
  <si>
    <t>Záhořík, Jan</t>
  </si>
  <si>
    <t>History; Literature</t>
  </si>
  <si>
    <t>PQ3989.2.O8 -- .Z346 2012eb</t>
  </si>
  <si>
    <t>960.0711</t>
  </si>
  <si>
    <t>Postcolonialism -- Africa.;Social change -- Africa.;Political stability -- Africa.;Political crisis -- Africa.;National characteristics -- Africa.;Nationalism -- Africa.</t>
  </si>
  <si>
    <t>Podivuhodný Květ českého Baroka : První Přednásky o Teorii Množin</t>
  </si>
  <si>
    <t>Vopěnka, Petr</t>
  </si>
  <si>
    <t>Mathematics</t>
  </si>
  <si>
    <t>QA27.C94</t>
  </si>
  <si>
    <t>Mathematics.;Mathematics--Study and teaching.;Mathematics--Study and teaching--Czech Republic--Bohemia--History.</t>
  </si>
  <si>
    <t>Osvobozené Československo očima Britské Diplomacie</t>
  </si>
  <si>
    <t>Kuklík, Jan;Němeček, Jan</t>
  </si>
  <si>
    <t>D829.C95</t>
  </si>
  <si>
    <t>940.53144437</t>
  </si>
  <si>
    <t>Czechoslovakia -- Foreign relations -- 1945-1992.;Czechoslovakia -- Foreign relations -- Great Britain.;Great Britain -- Foreign relations -- Czechoslovakia.;Nichols, Philip Bouverie Bowyer, Sir, 1894-1962.;Reconstruction (1939-1951) -- Czechoslovakia.</t>
  </si>
  <si>
    <t>Perspektivy Konce : Thomas Pynchon a Americký Román Po 11. Září</t>
  </si>
  <si>
    <t>2014-08-01</t>
  </si>
  <si>
    <t>Olehla, Richard</t>
  </si>
  <si>
    <t>PS648.S5 .O384 2014</t>
  </si>
  <si>
    <t>813.010806</t>
  </si>
  <si>
    <t>American fiction -- 20th century.;American fiction -- 21st century.;Postmodernism (Literature) -- United States.;Pynchon, Thomas.</t>
  </si>
  <si>
    <t>Půl Století Poté</t>
  </si>
  <si>
    <t>2007-01-01</t>
  </si>
  <si>
    <t>Tondl, Ladislav</t>
  </si>
  <si>
    <t>P245</t>
  </si>
  <si>
    <t>415.92</t>
  </si>
  <si>
    <t>Communication.;Semantics.;Semiotics.</t>
  </si>
  <si>
    <t>Pirouettes on a Postage Stamp</t>
  </si>
  <si>
    <t>2008-01-01</t>
  </si>
  <si>
    <t xml:space="preserve">Hrabal, Bohumil;Short, David </t>
  </si>
  <si>
    <t>PG5039.21.U6 -- .H733 2008eb</t>
  </si>
  <si>
    <t>891.8635</t>
  </si>
  <si>
    <t>Czechoslovakia -- Fiction.</t>
  </si>
  <si>
    <t>Patologická Fyziologie : Praktikum</t>
  </si>
  <si>
    <t>Sobotka, Pavel</t>
  </si>
  <si>
    <t>RB113 -- .S636 2012eb</t>
  </si>
  <si>
    <t>Physiology, Pathological -- Popular works.</t>
  </si>
  <si>
    <t>Pohybové Aktivity Ve Vědě a Praxi</t>
  </si>
  <si>
    <t>2014-07-01</t>
  </si>
  <si>
    <t>Flemr, Libor</t>
  </si>
  <si>
    <t>GV205 -- .P649 2014eb</t>
  </si>
  <si>
    <t>613.7</t>
  </si>
  <si>
    <t>Physical fitness -- Congresses.;Physical education and training -- Congresses.;Exercise -- Health aspects -- Congresses.;Sports -- Congresses.</t>
  </si>
  <si>
    <t>Physical Activity in Science and Practice</t>
  </si>
  <si>
    <t>Health; Sport &amp;amp; Recreation</t>
  </si>
  <si>
    <t>GV205 -- .P497 2014eb</t>
  </si>
  <si>
    <t>Pathophysiology. Laboratory Exercises</t>
  </si>
  <si>
    <t>RB113 -- .S636 2013eb</t>
  </si>
  <si>
    <t>Physiology, Pathological -- Problems, exercises, etc.</t>
  </si>
  <si>
    <t>Překladatelské Miniatury</t>
  </si>
  <si>
    <t>2015-04-22</t>
  </si>
  <si>
    <t>PN241 .H68 2014</t>
  </si>
  <si>
    <t>418.02</t>
  </si>
  <si>
    <t>Bilingualism and literature.;Philosophy, Modern.;Translating and interpreting.</t>
  </si>
  <si>
    <t>Perinatální Neuropsychická Morbidita Dítěte</t>
  </si>
  <si>
    <t>Stembera, Zdeněk;Dittrichová, Jaroslava;Sobotková, Daniela</t>
  </si>
  <si>
    <t>RG632</t>
  </si>
  <si>
    <t>614.5</t>
  </si>
  <si>
    <t>Maternal and infant welfare.;Newborn infants -- Mortality.;Perinatal death.;Stillbirth.</t>
  </si>
  <si>
    <t>Patofyziologie Pro Nelékařské Směry</t>
  </si>
  <si>
    <t>2012-12-01</t>
  </si>
  <si>
    <t>Vokurka, Martin</t>
  </si>
  <si>
    <t>RB113</t>
  </si>
  <si>
    <t>615.8 / 2</t>
  </si>
  <si>
    <t>Pathophysiology.;Physiology, Pathological.</t>
  </si>
  <si>
    <t>Příběhy (ne)obyčejných Profesí : Česká Společnost V Období Tzv. Normalizace a Transformace</t>
  </si>
  <si>
    <t>Orální historie a soudobé dejiny</t>
  </si>
  <si>
    <t>Vaněk, Miroslav;Krátká, Lenka</t>
  </si>
  <si>
    <t>DB2244.7</t>
  </si>
  <si>
    <t>943.7105</t>
  </si>
  <si>
    <t>Czech Republic -- Biography.;Czech Republic -- History.;Czech Republic -- Politics and government.</t>
  </si>
  <si>
    <t>Přehled Topografické Anatomie</t>
  </si>
  <si>
    <t>Kos, Jaroslav</t>
  </si>
  <si>
    <t>Science: Biology/Natural History; Medicine; Science</t>
  </si>
  <si>
    <t>QP361</t>
  </si>
  <si>
    <t>616.8</t>
  </si>
  <si>
    <t>Nervous System -- anatomy &amp; histology.</t>
  </si>
  <si>
    <t>Úloha Osobností a Institucí V Rozvoji Vzdělanosti V Evropském Kontextu : (Prezentace Skolství a Vzdělanosti)</t>
  </si>
  <si>
    <t>Kasper, Tomás;Pelcová, Naděžda;Sztobryn, Slawomir</t>
  </si>
  <si>
    <t>LA628</t>
  </si>
  <si>
    <t>378.1</t>
  </si>
  <si>
    <t>Education, Higher -- Aims and objectives -- Europe, Central -- Congresses.;Education, Higher -- Aims and objectives -- Europe, Central.;Education, Higher -- Aims and objectives.;Education, Higher -- Europe -- Philosophy -- Congresses.;Education, Higher -- Philosophy.;Universities and colleges -- Europe, Central -- History -- Congresses.;Universities and colleges -- Europe, Central -- History.;Universities and colleges.</t>
  </si>
  <si>
    <t>Klinická Genetika. Praktická Aplikace</t>
  </si>
  <si>
    <t>Maříková, Taťána;Seemanová, Eva</t>
  </si>
  <si>
    <t>QH431 -- .M3 2013eb</t>
  </si>
  <si>
    <t>575.1</t>
  </si>
  <si>
    <t>Medical genetics.;Genetic counseling.</t>
  </si>
  <si>
    <t>Lingvodidaktické Problémy Výuky Odborného Vyjadřování V Němčině</t>
  </si>
  <si>
    <t>Hasilová, Helena</t>
  </si>
  <si>
    <t>PF3065</t>
  </si>
  <si>
    <t>430.07</t>
  </si>
  <si>
    <t>German language -- Grammar.;German language -- Study and teaching.;German language.</t>
  </si>
  <si>
    <t>Lidová Píseň a Sborová Tvorba</t>
  </si>
  <si>
    <t>2011-04-01</t>
  </si>
  <si>
    <t>Pecháček, Stanislav</t>
  </si>
  <si>
    <t>ML275</t>
  </si>
  <si>
    <t>780/.943</t>
  </si>
  <si>
    <t>Choral music -- Czech Republic.;Folk music -- Czech Republic -- History and criticism.;Music -- Social aspects.</t>
  </si>
  <si>
    <t>Lectures on American literature</t>
  </si>
  <si>
    <t>2011-10-01</t>
  </si>
  <si>
    <t>Quinn, Justin</t>
  </si>
  <si>
    <t>PS185</t>
  </si>
  <si>
    <t>810.4</t>
  </si>
  <si>
    <t>American literature -- History and criticism.;American literature.</t>
  </si>
  <si>
    <t>Kontrola, Regulace a úprava Jaderného Zbrojení</t>
  </si>
  <si>
    <t>2011-01-01</t>
  </si>
  <si>
    <t>Bříza, Vlastislav</t>
  </si>
  <si>
    <t>Military Science</t>
  </si>
  <si>
    <t>U264 -- .B759 2010eb</t>
  </si>
  <si>
    <t>355.0217</t>
  </si>
  <si>
    <t>Nonproliferation Policy Education Center.;Nuclear weapons.;Arms control.;Disarmament.;Nuclear-weapon-free zones.</t>
  </si>
  <si>
    <t>Krize a Význam Pomáhajících Prvního Kontaktu</t>
  </si>
  <si>
    <t>2013-04-01</t>
  </si>
  <si>
    <t>Cimrmannová, Tereza</t>
  </si>
  <si>
    <t>BF637 .H4</t>
  </si>
  <si>
    <t>Child psychology.;Family violence.;Helping behavior.</t>
  </si>
  <si>
    <t>Lékařská Biologie a Genetika (III. Díl)</t>
  </si>
  <si>
    <t>Panczak, Ales;Otová, Berta</t>
  </si>
  <si>
    <t>Health; Science; Social Science; Science: Anatomy/Physiology</t>
  </si>
  <si>
    <t>RA781</t>
  </si>
  <si>
    <t>Cytogenetics.;Medical Genetics.;Medicine, Experimental -- Periodicals.</t>
  </si>
  <si>
    <t>Komunální Politika Ve Velké Praze : Obecní Volby, Politické Strany a Zvolené Orgány V Letech 1923-1938</t>
  </si>
  <si>
    <t>Svec, Michal</t>
  </si>
  <si>
    <t>JF1358 .C9</t>
  </si>
  <si>
    <t>351.4</t>
  </si>
  <si>
    <t>European Union -- Czech Republic.;Political parties -- Czech Republic.;Public administration -- Czech Republic  -- 20th century.;Public administration -- History.</t>
  </si>
  <si>
    <t>Kapitoly Z Francouzské, Italské a české Literatury</t>
  </si>
  <si>
    <t>2007-05-01</t>
  </si>
  <si>
    <t>Pelán, Jiří</t>
  </si>
  <si>
    <t>PQ139 -- .P453 2007eb</t>
  </si>
  <si>
    <t>840.9</t>
  </si>
  <si>
    <t>French literature -- History and criticism.;Italian literature -- History and criticism.;Czech literature -- History and criticism.</t>
  </si>
  <si>
    <t>Language in Its Multifarious Aspects</t>
  </si>
  <si>
    <t>2006-04-01</t>
  </si>
  <si>
    <t>P107 -- .S435 2006eb</t>
  </si>
  <si>
    <t>Language and languages.;Linguistics.</t>
  </si>
  <si>
    <t>Kultura a Struktura čEského Jazyka</t>
  </si>
  <si>
    <t>2009-11-01</t>
  </si>
  <si>
    <t>Danes, Frantisek</t>
  </si>
  <si>
    <t>PG4139.5 -- .D364 2009eb</t>
  </si>
  <si>
    <t>Czech language -- Intonation.;Czech language -- Syntax.</t>
  </si>
  <si>
    <t>Krásná Próza Raného Obrození 1. Studie</t>
  </si>
  <si>
    <t>2003-01-01</t>
  </si>
  <si>
    <t>Kusáková, Lenka</t>
  </si>
  <si>
    <t>PL1</t>
  </si>
  <si>
    <t>Prose.</t>
  </si>
  <si>
    <t>Krásná Próza Raného Obrození 2. Antologie</t>
  </si>
  <si>
    <t>PG5005 .K728 2003</t>
  </si>
  <si>
    <t>891.8;891.8609001</t>
  </si>
  <si>
    <t>Czech literature -- 18th century -- History and criticism.;Czech literature -- 18th century.;Czech literature -- 19th century -- History and criticism.;Czech literature -- 19th century.</t>
  </si>
  <si>
    <t>K Identifikaci Předpokladů V Triatlonu</t>
  </si>
  <si>
    <t>Kovářová, Lenka</t>
  </si>
  <si>
    <t>GV1060.73 -- .K683 2012eb</t>
  </si>
  <si>
    <t>796.4257</t>
  </si>
  <si>
    <t>Triathlon.</t>
  </si>
  <si>
    <t>Praktická Cvičení Z Morfologie a Fyziologie : (Pro PosluchačE Farmaceutické Fakulty)</t>
  </si>
  <si>
    <t>2015-04-16</t>
  </si>
  <si>
    <t>Hronek, Miloslav</t>
  </si>
  <si>
    <t>Science: Biology/Natural History; Science: Anatomy/Physiology; Science</t>
  </si>
  <si>
    <t>QP38 .P384 2013</t>
  </si>
  <si>
    <t>612.10923479</t>
  </si>
  <si>
    <t>Human body.;Human physiology.;Physiology -- Popular works.</t>
  </si>
  <si>
    <t>ÚspěCh I Zklamání - Demokracie a VeřEjná Politika V Praze, 1990-2000 : Demokracie a verejná politika v Praze 1990 - 2000</t>
  </si>
  <si>
    <t>Politeia</t>
  </si>
  <si>
    <t>Horák, Martin</t>
  </si>
  <si>
    <t>Social Science; Business/Management</t>
  </si>
  <si>
    <t>HN638.A8 .H384 2014</t>
  </si>
  <si>
    <t>384.10923489</t>
  </si>
  <si>
    <t>Cemeteries -- United States.;Cemeteries -- United States -- Pictorial works.;Sepulchral monuments -- United States.;Funeral rites and ceremonies -- United States.;United States -- History, Local.;United States -- History, Local -- Pictorial works.;United States -- Social life and customs.</t>
  </si>
  <si>
    <t>Pragmatika V čestině</t>
  </si>
  <si>
    <t>2013-08-01</t>
  </si>
  <si>
    <t>Hirschová, Milada</t>
  </si>
  <si>
    <t>PG4074.7 -- .H577 2013eb</t>
  </si>
  <si>
    <t>Czech language -- Variation.;Czech language -- Social aspects.;Czech language -- Discourse analysis.;Pragmatics.</t>
  </si>
  <si>
    <t>Prague English Studies and the Transformation of Philologies</t>
  </si>
  <si>
    <t>2013-03-01</t>
  </si>
  <si>
    <t>Procházka, Martin;Pilný, Ondřej</t>
  </si>
  <si>
    <t>PE51 -- .P734 2012eb</t>
  </si>
  <si>
    <t>420.9</t>
  </si>
  <si>
    <t>Mathesius, Vilém, -- 1882-1945.;English philology -- History.;Linguistics -- Czech Republic -- Prague -- History.;Structural linguistics -- Czech Republic -- Prague.</t>
  </si>
  <si>
    <t>Psycholog Ve Zdravotnictví</t>
  </si>
  <si>
    <t>Kebza, Vladimír</t>
  </si>
  <si>
    <t>Health; Social Science</t>
  </si>
  <si>
    <t>RA425 -- .K439 2014eb</t>
  </si>
  <si>
    <t>362.12</t>
  </si>
  <si>
    <t>Community health services.;Community mental health services.;Psychologists -- Czech Republic.</t>
  </si>
  <si>
    <t>Příprava Rohovky Pro Transplantaci</t>
  </si>
  <si>
    <t>Jirsová, Kateřina</t>
  </si>
  <si>
    <t>RE336</t>
  </si>
  <si>
    <t>617.7;617.719059</t>
  </si>
  <si>
    <t>Cornea -- Diseases -- History.;Cornea -- Diseases.;Cornea -- Transplantation.</t>
  </si>
  <si>
    <t>Spoken Sibe : Morphology of the Inflected Parts of Speech</t>
  </si>
  <si>
    <t>2013-07-30</t>
  </si>
  <si>
    <t>Zikmundová, Veronika</t>
  </si>
  <si>
    <t>PL481.S32 -- .Z556 2013eb</t>
  </si>
  <si>
    <t>494.1</t>
  </si>
  <si>
    <t>Sibo language -- Morphology.</t>
  </si>
  <si>
    <t>Soudobé DěJiny V Pohybu : Rakouský Výzkum DěJin 20. Století</t>
  </si>
  <si>
    <t>Pesek, Jiří;Rathkolb, Oliver</t>
  </si>
  <si>
    <t>DB36.8</t>
  </si>
  <si>
    <t>943.6</t>
  </si>
  <si>
    <t>Austria -- History -- 20th century.;Historians -- Austria -- 20th century.;Historians -- Austria -- 21st century.;Historiography -- Austria -- 20th century.;Historiography -- Austria -- 21st century.</t>
  </si>
  <si>
    <t>Speciální Chirurgie</t>
  </si>
  <si>
    <t>Vodička, Josef</t>
  </si>
  <si>
    <t>RD31.3</t>
  </si>
  <si>
    <t>Hospital care.;Operations, Surgical -- Popular works.;Surgery -- Popular works.</t>
  </si>
  <si>
    <t>Principy a Praktika Lékařské Mikrobiologie</t>
  </si>
  <si>
    <t>Melter, Oto;Malmgren, Annika</t>
  </si>
  <si>
    <t>Science; Medicine; Science: Biology/Natural History</t>
  </si>
  <si>
    <t>QR46 -- .M458 2014eb</t>
  </si>
  <si>
    <t>616.01</t>
  </si>
  <si>
    <t>Medical microbiology.;Microbiological techniques.</t>
  </si>
  <si>
    <t>Případ Kondelík</t>
  </si>
  <si>
    <t>2002-03-01</t>
  </si>
  <si>
    <t>Mocná, Dagmar</t>
  </si>
  <si>
    <t>PG5006</t>
  </si>
  <si>
    <t>Czech language -- Study and teaching.;Czech literature -- History and criticism.;Czech philology.;Czech Republic -- Civilization -- Study and teaching.</t>
  </si>
  <si>
    <t>Soudobá Sociologie V : Teorie Sociální Změny</t>
  </si>
  <si>
    <t>Soudobá sociologie</t>
  </si>
  <si>
    <t>Subrt, Jiří</t>
  </si>
  <si>
    <t>HM101 -- .S937 2013eb</t>
  </si>
  <si>
    <t>303.4</t>
  </si>
  <si>
    <t>Social change.</t>
  </si>
  <si>
    <t>Rambling On : An Apprentice's Guide to the Gift of the Gab</t>
  </si>
  <si>
    <t>PG5038.S527 -- .H733 2014eb</t>
  </si>
  <si>
    <t>Kvorecký, Josef -- Translations into English.;Clergy -- Fiction.</t>
  </si>
  <si>
    <t>Soudobá Sociologie VI : Oblasti a Specializace</t>
  </si>
  <si>
    <t>Subrt, Jiří A. kol.</t>
  </si>
  <si>
    <t>HM51 -- .S837 2014eb</t>
  </si>
  <si>
    <t>Sociology.</t>
  </si>
  <si>
    <t>Skrze Postmoderní Teorie</t>
  </si>
  <si>
    <t>2002-10-01</t>
  </si>
  <si>
    <t>Hauer, Tomás</t>
  </si>
  <si>
    <t>B831.2 -- .H384 2002eb</t>
  </si>
  <si>
    <t>149.97</t>
  </si>
  <si>
    <t>Postmodernism.;Philosophy -- 20th century.</t>
  </si>
  <si>
    <t>Prague Soundscapes</t>
  </si>
  <si>
    <t>Jurková, Zuzana</t>
  </si>
  <si>
    <t>ML247.8.P6 -- .P734 2014eb</t>
  </si>
  <si>
    <t>780.943712</t>
  </si>
  <si>
    <t>Music -- Czech Republic -- Prague -- History and criticism.;Ethnomusicology -- Czech Republic -- Prague.;Performing arts -- Czech Republic -- Prague.</t>
  </si>
  <si>
    <t>Proud Casu. (Stati O Shakespearovi V Rámci Anglické Literatury)</t>
  </si>
  <si>
    <t>Litera</t>
  </si>
  <si>
    <t>Stříbrný, Zdeněk</t>
  </si>
  <si>
    <t>PR2976 -- .S775 2005eb</t>
  </si>
  <si>
    <t>822.33</t>
  </si>
  <si>
    <t>Shakespeare, William, -- 1564-1616 -- Criticism and interpretation.;English literature -- History and criticism.</t>
  </si>
  <si>
    <t>Proprioceptivní Neuromuskulární Facilitace 2. část</t>
  </si>
  <si>
    <t>2012-10-01</t>
  </si>
  <si>
    <t>Holubářová, Jiřina;Pavlů, Dagmar</t>
  </si>
  <si>
    <t>Science: Anatomy/Physiology; Science: Biology/Natural History; Science</t>
  </si>
  <si>
    <t>QP310.S77</t>
  </si>
  <si>
    <t>612.76</t>
  </si>
  <si>
    <t>Exercise for older people.;Joints -- Range of motion.;Muscle strength.;Physical education and training.;Proprioceptors.;Stretch (Physiology).</t>
  </si>
  <si>
    <t>Příručka Topografické Pitvy</t>
  </si>
  <si>
    <t>Fiala, Pavel;Valenta, Jiří</t>
  </si>
  <si>
    <t>QP123</t>
  </si>
  <si>
    <t>616.24</t>
  </si>
  <si>
    <t>Neurobiology.;Respiration -- Regulation.;Respiration.</t>
  </si>
  <si>
    <t>Psychiatrie</t>
  </si>
  <si>
    <t>Raboch, Jiří;Pavlovský, Pavel A. kol.</t>
  </si>
  <si>
    <t>Medicine; Psychology</t>
  </si>
  <si>
    <t>RC458 -- .R336 2012eb</t>
  </si>
  <si>
    <t>616.89008</t>
  </si>
  <si>
    <t>Psychiatry.</t>
  </si>
  <si>
    <t>Radiojournal - Rozhlasové Vysílání V Čechách a Na Moravě V Letech 1923-1939 : rozhlasové vysílání v Cechách a na Morave v letech 1923-1939</t>
  </si>
  <si>
    <t>2003-05-01</t>
  </si>
  <si>
    <t>Čábelová, Lenka</t>
  </si>
  <si>
    <t>HE8689.9.;HE8697.A8</t>
  </si>
  <si>
    <t>Radio broadcasting -- Czechoslovakia -- History.;Radio broadcasting -- Czechoslovakia.;Radio broadcasting.</t>
  </si>
  <si>
    <t>Soudobá Sociologie III : Diagnózy Soudobých Společností</t>
  </si>
  <si>
    <t>2008-07-01</t>
  </si>
  <si>
    <t>HM447 -- .S837 2008eb</t>
  </si>
  <si>
    <t>301.0904</t>
  </si>
  <si>
    <t>Sociology -- History -- 20th century.</t>
  </si>
  <si>
    <t>Soudobá Sociologie II : Teorie Sociálního Jednání a Sociální Struktury</t>
  </si>
  <si>
    <t>2008-02-01</t>
  </si>
  <si>
    <t>HM585</t>
  </si>
  <si>
    <t>Social history -- 20th century.;Sociology -- 20th-21st centuries.;Sociology.</t>
  </si>
  <si>
    <t>Soudobá Sociologie I : Teoretické Koncepce a Jejich Autoři</t>
  </si>
  <si>
    <t>HM24 -- .S837 2007eb</t>
  </si>
  <si>
    <t>301.01</t>
  </si>
  <si>
    <t>Sociology -- Philosophy.</t>
  </si>
  <si>
    <t>Soudobá Ekonomie OčIma TřÍ Generací</t>
  </si>
  <si>
    <t>Mlčoch, Lubomír</t>
  </si>
  <si>
    <t>History; Economics</t>
  </si>
  <si>
    <t>DS135.C96</t>
  </si>
  <si>
    <t>BUSINESS &amp; ECONOMICS / Economics / General.;Czech Republic -- Economic conditions -- 1993-;Czech Republic -- Economic conditions -- 20th century.</t>
  </si>
  <si>
    <t>Rakousko-Uherská Politika Vůči Sovětskému Rusku V Letech 1917-1918</t>
  </si>
  <si>
    <t>2005-08-01</t>
  </si>
  <si>
    <t>Horčička, Václav</t>
  </si>
  <si>
    <t>Political Science; History</t>
  </si>
  <si>
    <t>DB49.R8 -- .H67 2009eb</t>
  </si>
  <si>
    <t>327.436047</t>
  </si>
  <si>
    <t>Austria -- Foreign relations -- Soviet Union.;Soviet Union -- Foreign relationis -- Austria.;Austria -- Foreign relations -- 1867-1918.;Soviet Union -- Foreign relations -- 1917-1945.</t>
  </si>
  <si>
    <t>Zrod Velmoci : Dějiny Sovětského svazu 1917-1945</t>
  </si>
  <si>
    <t>Reiman, Michal;Litera, Bohuslav;Svoboda, Karel</t>
  </si>
  <si>
    <t>DK267 -- .R456 2013eb</t>
  </si>
  <si>
    <t>947.0842</t>
  </si>
  <si>
    <t>Soviet Union -- Politics and government -- 1917-1936.</t>
  </si>
  <si>
    <t>Substance Use in a Comparative Perspective : The Case of Bulgaria, Czechia, Croatia, Romania and Slovakia</t>
  </si>
  <si>
    <t>Veselý, Arnošt;Dzúrová, Dagmar</t>
  </si>
  <si>
    <t>HV5801 -- .S837 2011eb</t>
  </si>
  <si>
    <t>613.8</t>
  </si>
  <si>
    <t>Substance abuse -- Social aspects -- Bulgaria.;Substance abuse -- Social aspects -- Czech Republic.;Substance abuse -- Social aspects -- Croatia.;Substance abuse -- Social aspects -- Romania.;Substance abuse -- Social aspects -- Slovakia.;Drug abuse -- Former communist countries.;Drug abuse -- Social aspects.</t>
  </si>
  <si>
    <t>Zpravodajství V Médiích</t>
  </si>
  <si>
    <t>PN4781 .O384 2011</t>
  </si>
  <si>
    <t>070.43</t>
  </si>
  <si>
    <t>Mass media -- Influence.;Report writing.;Reporters and reporting.</t>
  </si>
  <si>
    <t>Výmarská Republika</t>
  </si>
  <si>
    <t>2006-09-01</t>
  </si>
  <si>
    <t>Moravcová, Dagmar</t>
  </si>
  <si>
    <t>JN3971.A988 .M384 2006</t>
  </si>
  <si>
    <t>328.431</t>
  </si>
  <si>
    <t>Democracy -- Germany.;Political science -- Germany -- History.;Politics, Practical -- Germany -- History.;Representative government and representation -- Germany.</t>
  </si>
  <si>
    <t>Zrození Státu : Prvotní Civilizace Starého Světa</t>
  </si>
  <si>
    <t>JC11</t>
  </si>
  <si>
    <t>321.8</t>
  </si>
  <si>
    <t>Democracy.;Political science -- History.;State, The -- Origin.</t>
  </si>
  <si>
    <t>Teorie Regionálního Rozvoje</t>
  </si>
  <si>
    <t>Blažek, Jiří;Uhlíř, David</t>
  </si>
  <si>
    <t>HT388 .B384 2011</t>
  </si>
  <si>
    <t>383.10923479</t>
  </si>
  <si>
    <t>Regional development.;Regional economics.;Regional planning.</t>
  </si>
  <si>
    <t>Z Kapitalismu Do Socialismu a Zpět</t>
  </si>
  <si>
    <t>2005-12-01</t>
  </si>
  <si>
    <t>Kabele, Jiří</t>
  </si>
  <si>
    <t>HN420.3 -- .K334 2005eb</t>
  </si>
  <si>
    <t>Social change -- Czechoslovakia.;Social change -- Czech Republic.;Social systems -- Case studies.;Czechoslovakia -- History -- 1945-1992.</t>
  </si>
  <si>
    <t>Visegrádská Skupina a Její Vývoj V Letech 1991-2004</t>
  </si>
  <si>
    <t>Lukásek, Libor</t>
  </si>
  <si>
    <t>Business/Management; Political Science</t>
  </si>
  <si>
    <t>JN96.A58 .L384 2011</t>
  </si>
  <si>
    <t>384.10923479</t>
  </si>
  <si>
    <t>Europe, Central -- Economic integration.;Europe, Central -- Politics and government -- 1989.;European Union -- Europe, Eastern.;Visegrad group.</t>
  </si>
  <si>
    <t>Thinking About Ordinary Things : A Short Invitation to Philosophy</t>
  </si>
  <si>
    <t>2013-11-13</t>
  </si>
  <si>
    <t>Sokol, Jan</t>
  </si>
  <si>
    <t>BD21 -- .S656 2013eb</t>
  </si>
  <si>
    <t>Philosophy -- Introductions.</t>
  </si>
  <si>
    <t>Srdeční Selhání</t>
  </si>
  <si>
    <t>Málek, Filip;Málek, Ivan;Jindrová, Jana</t>
  </si>
  <si>
    <t>RC685.C53 .M384 2013</t>
  </si>
  <si>
    <t>616.10923478</t>
  </si>
  <si>
    <t>Congestive heart failure.;Heart failure.;Medicine.</t>
  </si>
  <si>
    <t>Zeitgeschichte in Bewegung : Die österreichische Erforschung des 20. Jahrhunderts</t>
  </si>
  <si>
    <t>DB91 -- .P474 2013eb</t>
  </si>
  <si>
    <t>943.605</t>
  </si>
  <si>
    <t>Austria -- History -- 20th century.;Austria -- Intellectual life -- History.</t>
  </si>
  <si>
    <t>German</t>
  </si>
  <si>
    <t>Znavená Evropa umírá</t>
  </si>
  <si>
    <t>2000-03-01</t>
  </si>
  <si>
    <t>Funda, Otakar A.</t>
  </si>
  <si>
    <t>B831.2 .F86 2000</t>
  </si>
  <si>
    <t>190.9;190.904</t>
  </si>
  <si>
    <t>Civilization, Modern -- 1950- -- Philosophy.;Europe -- Civilization -- Philosophy.;Postmodernism.</t>
  </si>
  <si>
    <t>Études Sur la Formation des Mots en Francais Préclassique et Classique</t>
  </si>
  <si>
    <t>Stichauer, Jaroslav</t>
  </si>
  <si>
    <t>Social Science; Language/Linguistics</t>
  </si>
  <si>
    <t>PC2680 -- .S753 2014eb</t>
  </si>
  <si>
    <t>306.0944</t>
  </si>
  <si>
    <t>Words -- French.;France -- Languages.</t>
  </si>
  <si>
    <t>French</t>
  </si>
  <si>
    <t>Summer of Caprice</t>
  </si>
  <si>
    <t>2006-05-01</t>
  </si>
  <si>
    <t xml:space="preserve">Vančura, Vladislav;Corner, Mark </t>
  </si>
  <si>
    <t>PZ7.F57535 -- .V368 2006eb</t>
  </si>
  <si>
    <t>813.4</t>
  </si>
  <si>
    <t>Humorous stories.</t>
  </si>
  <si>
    <t>We Were a Handful</t>
  </si>
  <si>
    <t>2007-12-01</t>
  </si>
  <si>
    <t xml:space="preserve">Poláček, Karel;Corner, Mark </t>
  </si>
  <si>
    <t>General Works/Reference; Language/Linguistics</t>
  </si>
  <si>
    <t>PG5145.E1 -- .P65 2014eb</t>
  </si>
  <si>
    <t>016.89186</t>
  </si>
  <si>
    <t>Czech literature -- Translations into English.</t>
  </si>
  <si>
    <t>Václav Chaloupecký : Hledání československých Dějin</t>
  </si>
  <si>
    <t>Ducháček, Milan</t>
  </si>
  <si>
    <t>DB205</t>
  </si>
  <si>
    <t>943.7</t>
  </si>
  <si>
    <t>Bohemia (Czech Republic) -- History.;Chaloupecký, Václav, -- 1882-1951.;Czechoslovakia -- History.;Germany -- History.</t>
  </si>
  <si>
    <t>Základy Biologie a Genetiky ClověKa</t>
  </si>
  <si>
    <t>Otová, Berta;Mihalová, Romana</t>
  </si>
  <si>
    <t>Science; Science: Biology/Natural History</t>
  </si>
  <si>
    <t>QH431 -- .O868 2012eb</t>
  </si>
  <si>
    <t>599.935</t>
  </si>
  <si>
    <t>Human genetics -- Popular works.;Biology.</t>
  </si>
  <si>
    <t>Útěky a Vyhánění Z Pohraničí českých Zemí 1938-1939 : Migrace Z Okupovaného Pohraničí Ve Druhé Republice</t>
  </si>
  <si>
    <t>Benda, Jan</t>
  </si>
  <si>
    <t>D808 .B46 2013</t>
  </si>
  <si>
    <t>940.54;940.545941</t>
  </si>
  <si>
    <t>Deportation -- Czechoslovakia -- History -- 20th century.;Forced migration -- Czechoslovakia -- History -- 20th century.;World War, 1939-1945 -- Forced repatriation.;World War, 1939-1945 -- Refugees -- Czechoslovakia.</t>
  </si>
  <si>
    <t>Studijní Texty K DěJinám Farmacie</t>
  </si>
  <si>
    <t>Dohnal, Frantisek</t>
  </si>
  <si>
    <t>RS61</t>
  </si>
  <si>
    <t>615.409</t>
  </si>
  <si>
    <t>Drugs -- History.;Pharmaceutical preparations -- History.;Pharmacy -- History.</t>
  </si>
  <si>
    <t>Základní Gymnastika</t>
  </si>
  <si>
    <t>Zítko, Miroslav;Skopová, Marie</t>
  </si>
  <si>
    <t>GV461</t>
  </si>
  <si>
    <t>796.4107</t>
  </si>
  <si>
    <t>Gymnastics -- Safety measures.;Gymnastics -- Study and teaching.;Gymnastics.</t>
  </si>
  <si>
    <t>Topographical Anatomy with autopsy guide and clinical notes</t>
  </si>
  <si>
    <t>Valenta, Jirí;Fiala, Pavel</t>
  </si>
  <si>
    <t>Science: Anatomy/Physiology; Science</t>
  </si>
  <si>
    <t>QM531 .V354 2013</t>
  </si>
  <si>
    <t>611.9</t>
  </si>
  <si>
    <t>Anatomy, Regional.;Anatomy, Surgical and topographical -- Popular works.;Anatomy.;Surgical procedures, Operative.</t>
  </si>
  <si>
    <t>Vademecum / Zdravotní TěLesná Výchova : Druhy Oslabení</t>
  </si>
  <si>
    <t>Hosková, Blanka</t>
  </si>
  <si>
    <t>GV481</t>
  </si>
  <si>
    <t>Exercise -- Physiological aspects.;Physical education and training.;Physical fitness.</t>
  </si>
  <si>
    <t>Sport a Olympijské Hnutí V Zemích Visegrádu a Jejich Transformace V Postkomunistické ÉřE</t>
  </si>
  <si>
    <t>Jakubcová, Kristina</t>
  </si>
  <si>
    <t>GV721.5 -- .J358 2012eb</t>
  </si>
  <si>
    <t>796.48</t>
  </si>
  <si>
    <t>Olympics -- History.;Sports -- Europe, Central -- History.;Sports and state -- Europe, Central -- History.;Sports -- Social aspects -- Europe, Central.</t>
  </si>
  <si>
    <t>Études de Prosodie Contrastive : Le Cas du Français et du Tchèque</t>
  </si>
  <si>
    <t>Duběda, Tomás</t>
  </si>
  <si>
    <t>P134 -- .D834 2012eb</t>
  </si>
  <si>
    <t>Contrastive linguistics.</t>
  </si>
  <si>
    <t>Tvůrčí Překlad Ve Výukovém Procesu Na Polsko-českém Příkladu</t>
  </si>
  <si>
    <t>Rusin Dybalska, Renata;Zakopalová, Lucie</t>
  </si>
  <si>
    <t>PE1128.A2</t>
  </si>
  <si>
    <t>428.0071</t>
  </si>
  <si>
    <t>English language -- Study and teaching -- Foreign speakers.;English language -- Study and teaching.</t>
  </si>
  <si>
    <t>Základy Fyzikální Chemie : Vybrané Kapitoly Pro Posluchače Farmaceutické Fakulty</t>
  </si>
  <si>
    <t>Lázníčková, Alice;Kubíček, Vladimír</t>
  </si>
  <si>
    <t>Science: Chemistry; Science</t>
  </si>
  <si>
    <t>QD453.2</t>
  </si>
  <si>
    <t>541.3</t>
  </si>
  <si>
    <t>Chemistry, Physical and theoretical.</t>
  </si>
  <si>
    <t>Veterinární Vademecum Pro Farmaceuty</t>
  </si>
  <si>
    <t>Lamka, Jiří;Ducháček, Lubomír</t>
  </si>
  <si>
    <t>Agriculture</t>
  </si>
  <si>
    <t>SF745 -- .D834 2014eb</t>
  </si>
  <si>
    <t>636.089</t>
  </si>
  <si>
    <t>Veterinary medicine.;Veterinary drugs.</t>
  </si>
  <si>
    <t>Veterinární léčiva Pro Posluchače Farmacie</t>
  </si>
  <si>
    <t>Engineering: Environmental; Agriculture; Engineering</t>
  </si>
  <si>
    <t>SF917</t>
  </si>
  <si>
    <t>628.5/2;628.52</t>
  </si>
  <si>
    <t>Veterinary drugs -- Environmental aspects.</t>
  </si>
  <si>
    <t>Gerontologie : Současné Otázky Z Pohledu Biomedicíny a Společenských Věd</t>
  </si>
  <si>
    <t>2015-05-06</t>
  </si>
  <si>
    <t>Stěpánková, Hana;Höschl, Cyril;Vidovicová, Lucie</t>
  </si>
  <si>
    <t>Medicine; Health; Social Science</t>
  </si>
  <si>
    <t>618.97</t>
  </si>
  <si>
    <t>Aging.;Gerontology.;Older people -- Health and hygiene.</t>
  </si>
  <si>
    <t>Kolektivní Paměť. K Teoretickým Otázkám</t>
  </si>
  <si>
    <t>2015-01-01</t>
  </si>
  <si>
    <t>Maslowski, Nicolas;Subrt, Jiří</t>
  </si>
  <si>
    <t>Psychology; Social Science</t>
  </si>
  <si>
    <t>GN502</t>
  </si>
  <si>
    <t>153.1</t>
  </si>
  <si>
    <t>Ethnopsychology.;Memory -- Social aspects.;Social memory.</t>
  </si>
  <si>
    <t>Základy Histologie</t>
  </si>
  <si>
    <t>Slípka, Jaroslav;Tonar, Zbyněk</t>
  </si>
  <si>
    <t>Science; Science: Anatomy/Physiology</t>
  </si>
  <si>
    <t>QM551 -- .S557 2014eb</t>
  </si>
  <si>
    <t>611.018</t>
  </si>
  <si>
    <t>Histology.</t>
  </si>
  <si>
    <t>Úvod Do Sociologie</t>
  </si>
  <si>
    <t>2015-02-01</t>
  </si>
  <si>
    <t>Havlík, Radomír</t>
  </si>
  <si>
    <t>LC189</t>
  </si>
  <si>
    <t>370.19;370.190973</t>
  </si>
  <si>
    <t>Authority.;Educational sociology.;Sociology.</t>
  </si>
  <si>
    <t>Rukověť Pábitelského Učně : Povídky</t>
  </si>
  <si>
    <t>Hrabal, Bohumil</t>
  </si>
  <si>
    <t>PG5039.18.R2.H733 2014</t>
  </si>
  <si>
    <t>891.86350000000004</t>
  </si>
  <si>
    <t>Hrabal, Bohumil, 1914-1997.</t>
  </si>
  <si>
    <t>Homelessness among Young People in Prague : A Narrative Analysis of Developmental Trajectories</t>
  </si>
  <si>
    <t>HV4552.3.P73 -- V34 2014eb</t>
  </si>
  <si>
    <t>362.592083094371</t>
  </si>
  <si>
    <t>Homeless persons -- Czech Republic -- Prague.</t>
  </si>
  <si>
    <t>Cardiovascular Surgery</t>
  </si>
  <si>
    <t>Semrád, Michal;Krajíček, Milan;Sebesta, Pavel</t>
  </si>
  <si>
    <t>RD598 -- .S46 2014eb</t>
  </si>
  <si>
    <t>617.4;617.410421</t>
  </si>
  <si>
    <t>Cardiovascular system -- Surgery.</t>
  </si>
  <si>
    <t>Rada Vzájemné HospodářSké Pomoci a ČEskoslovensko, 1957-1967</t>
  </si>
  <si>
    <t>2002-07-01</t>
  </si>
  <si>
    <t>Kaplan, Karel</t>
  </si>
  <si>
    <t>DA47.9 .C95</t>
  </si>
  <si>
    <t>Czechoslovakia -- Diplomatic relations -- 1918-1938.;Czechoslovakia -- Foreign relations -- 1918-1938.;Czechoslovakia -- Foreign relations -- Great Britain.;Great Britain -- Diplomatic relations -- 1918-1938.;Great Britain -- Foreign relations -- 1918-1938.;Great Britain -- Foreign relations -- Czechoslovakia.</t>
  </si>
  <si>
    <t>Nenaplněné Naděje - Politické a Diplomatické Vztahy Československa a Velké Británie Od Zrodu První Republiky Po Konferenci V Mnichově (1918-1938) : politické a diplomatické vztahy Ceskoslovenska a Velké Británie od zrodu První republiky po konferenci v Mnichove (1918-1938)</t>
  </si>
  <si>
    <t>2003-10-01</t>
  </si>
  <si>
    <t>Dejmek, Jindřich</t>
  </si>
  <si>
    <t>DB2078 .G7 D45 2003</t>
  </si>
  <si>
    <t>327.437041</t>
  </si>
  <si>
    <t>Czechoslovakia -- Foreign relations -- 1918-1938.;Czechoslovakia -- Foreign relations -- Great Britain.;Great Britain -- Foreign relations -- Czechoslovakia.</t>
  </si>
  <si>
    <t>Arizace české Kinematografie</t>
  </si>
  <si>
    <t>2003-03-01</t>
  </si>
  <si>
    <t>Bednařík, Petr</t>
  </si>
  <si>
    <t>D810.C8 -- .B436 2003eb</t>
  </si>
  <si>
    <t>940.53</t>
  </si>
  <si>
    <t>World War, 1939-1945 -- Confiscations and contributions -- Czechoslovakia.;Aryanization -- Czechoslovakia.;Motion picture industry -- Political aspects -- Czechoslovakia -- History.</t>
  </si>
  <si>
    <t>Judaismus a Zeny V Izraeli</t>
  </si>
  <si>
    <t>2012-09-01</t>
  </si>
  <si>
    <t>Zoufalá, Marcela</t>
  </si>
  <si>
    <t>HQ1728.5 -- .Z684 2012eb</t>
  </si>
  <si>
    <t>301.412095644</t>
  </si>
  <si>
    <t>Women -- Israel.;Women and religion -- Israel.;Orthodox Judaism -- Israel.;Israel -- Social conditions.</t>
  </si>
  <si>
    <t>Infekční Nemoci Ve Standardní a Intenzivní Péči</t>
  </si>
  <si>
    <t>Rozsypal, Hanus;Holub, Michal;Kosáková, Monika</t>
  </si>
  <si>
    <t>Medicine; Nursing</t>
  </si>
  <si>
    <t>RT120.I5 .S384 2013</t>
  </si>
  <si>
    <t>616.028</t>
  </si>
  <si>
    <t>Critical care -- Methods.;Critical care medicine.;Intensive care.</t>
  </si>
  <si>
    <t>Moderní Skandinávské Literatury 1870-2000</t>
  </si>
  <si>
    <t>Kadečková, Helena;Humpál, Martin;Parente-Čapková, Viola</t>
  </si>
  <si>
    <t>PT7078</t>
  </si>
  <si>
    <t>839.5</t>
  </si>
  <si>
    <t>Scandinavian literature -- 19th century -- History and criticism.;Scandinavian literature -- 20th century -- History and criticism.;Scandinavian literature -- 21st century -- History and criticism.</t>
  </si>
  <si>
    <t>Návody K Speciálním Praktickým Cvičením Z Farmaceutické Technologie</t>
  </si>
  <si>
    <t>Řehula, Milan;Berka, Pavel;Dittrich, Milan</t>
  </si>
  <si>
    <t>RM301.25 .R384 2014</t>
  </si>
  <si>
    <t>Drug development.;Drugs -- Law and legislation.;Pharmaceutical industry.;Pharmaceutical technology.</t>
  </si>
  <si>
    <t>Odvrácená Tvář Meziválečné Prosperity. Nezaměstnanost V Československu V Letech 1918-1938</t>
  </si>
  <si>
    <t>2008-12-01</t>
  </si>
  <si>
    <t>Rákosník, Jakub</t>
  </si>
  <si>
    <t>HC10 .M384 2008</t>
  </si>
  <si>
    <t>338.10938475</t>
  </si>
  <si>
    <t>Czechoslovakia -- Economic conditions -- 1918-1938.;Czechoslovakia -- Social policy.;Unemployment -- Czechoslovakia.;Unemployment insurance -- Czechoslovakia.</t>
  </si>
  <si>
    <t>Pedagogika Sportu</t>
  </si>
  <si>
    <t>Jansa, Petr</t>
  </si>
  <si>
    <t>GV288.C9 -- .P433 2012eb</t>
  </si>
  <si>
    <t>Physical education and training -- Czechoslovakia.;Sports -- Czechoslovakia.</t>
  </si>
  <si>
    <t>Las Relaciones Checo-Argentinas</t>
  </si>
  <si>
    <t>Opatrný, Josef</t>
  </si>
  <si>
    <t>DB2011 -- .O638 2014eb</t>
  </si>
  <si>
    <t>Czech Republic -- Relations -- Argentina.;Argentina -- Relations -- Czech Republic.</t>
  </si>
  <si>
    <t>Vývojová Psychologie. DěTství a Dospívání</t>
  </si>
  <si>
    <t>Vágnerová, Marie</t>
  </si>
  <si>
    <t>BF721</t>
  </si>
  <si>
    <t>Adolescent psychology.;Child development.;Child psychology.;Developmental psychology.</t>
  </si>
  <si>
    <t>Odběry Orgánů K Transplantaci / Odbery Orgánov Na Transplantácie</t>
  </si>
  <si>
    <t>2012-01-01</t>
  </si>
  <si>
    <t>Baláž, Peter</t>
  </si>
  <si>
    <t>Science: Biology/Natural History; Science; Medicine</t>
  </si>
  <si>
    <t>QP89 -- .B353 2011eb</t>
  </si>
  <si>
    <t>617.95</t>
  </si>
  <si>
    <t>Transplantation of organs, tissues, etc. -- Czech Republic.;Transplantation of organs, tissues, etc. -- Slovakia.</t>
  </si>
  <si>
    <t>Praktická Kardiologie</t>
  </si>
  <si>
    <t>Kölbel, Frantisek</t>
  </si>
  <si>
    <t>RC667 -- .K653 2011eb</t>
  </si>
  <si>
    <t>616.12</t>
  </si>
  <si>
    <t>Cardiology.</t>
  </si>
  <si>
    <t>Psychická Deprivace V Dětství</t>
  </si>
  <si>
    <t>2011-11-01</t>
  </si>
  <si>
    <t>Langmeier, Josef;Matějček, Zdeněk</t>
  </si>
  <si>
    <t>BF723.D4 -- .L364 2011eb</t>
  </si>
  <si>
    <t>155.234</t>
  </si>
  <si>
    <t>Parental deprivation.;Social isolation.</t>
  </si>
  <si>
    <t>Základní Pojmy Praktického a Posudkového Lékařství</t>
  </si>
  <si>
    <t>Seifert, Bohumil;Čeledová, Libuse</t>
  </si>
  <si>
    <t>RC55</t>
  </si>
  <si>
    <t>Ambulatory medical care.;Clinical medicine.;Medicine.</t>
  </si>
  <si>
    <t>Demokracie V Postliberální Konstelaci</t>
  </si>
  <si>
    <t>Znoj, Milan;Bíba, Jan;Vargovčíková, Jana</t>
  </si>
  <si>
    <t>JC423 -- .Z565 2014eb</t>
  </si>
  <si>
    <t>Democracy.;Liberalism.</t>
  </si>
  <si>
    <t>Role Policie a Armády V Evropské Unii : Analýza Evropské a Národní úrovně S Využitím Případové Studie České Republiky</t>
  </si>
  <si>
    <t>2015-05-11</t>
  </si>
  <si>
    <t>Weiss, Tomás</t>
  </si>
  <si>
    <t>KJE5250</t>
  </si>
  <si>
    <t>341.72</t>
  </si>
  <si>
    <t>European Union countries -- Military policy.;National security -- Czech Republic.;National security -- European Union countries.</t>
  </si>
  <si>
    <t>Greek Gods in the East : Hellenistic Iconographic Schemes in the Central Asia</t>
  </si>
  <si>
    <t>Stančo, Ladislav</t>
  </si>
  <si>
    <t>N7760</t>
  </si>
  <si>
    <t>709.38</t>
  </si>
  <si>
    <t>Art, Central Asian.;Art, Hellenistic -- Themes, motives.;Goddesses, Greek, in art.;Gods, Greek, in art.;Mythology, Greek, in art.</t>
  </si>
  <si>
    <t>Apologia Mimorum Od Chorikia Z Gazy. Obrana Herců Ve Jménu Dionýsa</t>
  </si>
  <si>
    <t>2015-03-01</t>
  </si>
  <si>
    <t>Sípová, Pavlína</t>
  </si>
  <si>
    <t>BL820.B2 -- .-160;76 2015eb</t>
  </si>
  <si>
    <t>292.211</t>
  </si>
  <si>
    <t>Dionysus -- (Greek deity) -- (Greek deity);Dionysus -- (Greek deity);Mythology, Greek.</t>
  </si>
  <si>
    <t>Ekosystémová a Krajinná Ekologie</t>
  </si>
  <si>
    <t>Kovář, Pavel</t>
  </si>
  <si>
    <t>Science; Environmental Studies; Economics; Science: Biology/Natural History</t>
  </si>
  <si>
    <t>QH541.15</t>
  </si>
  <si>
    <t>333.7</t>
  </si>
  <si>
    <t>Ecology.;Landscape ecology.</t>
  </si>
  <si>
    <t>Lexikálně-Sémantické Konverze Ve Valenčním Slovníku</t>
  </si>
  <si>
    <t>Kettnerová, Václava</t>
  </si>
  <si>
    <t>PG4315</t>
  </si>
  <si>
    <t>Czech language -- Dependency grammar.;Czech language -- Verb phrase.;Dependency grammar -- Data processing.</t>
  </si>
  <si>
    <t>Czech Law in Historical Contexts</t>
  </si>
  <si>
    <t>KJP5412 -- .K85 2015eb</t>
  </si>
  <si>
    <t>349.437</t>
  </si>
  <si>
    <t>Law -- Czech Republic -- History.</t>
  </si>
  <si>
    <t>Místa Paměti Druhé Světové Války : Svět Vojáků československého Zahraničního Odboje</t>
  </si>
  <si>
    <t>Mücke, Pavel</t>
  </si>
  <si>
    <t>D16.8</t>
  </si>
  <si>
    <t>Czechoslovakia -- Armed Forces -- Foreign countries -- History -- Sources.;Oral history -- Czech Republic.;World War, 1939-1945 -- Personal narratives, Czech.</t>
  </si>
  <si>
    <t>Sociální a Posudkové Lékařství</t>
  </si>
  <si>
    <t>2015-04-01</t>
  </si>
  <si>
    <t>Čevela, Rostislav</t>
  </si>
  <si>
    <t>RA418;RA418.3</t>
  </si>
  <si>
    <t>362.1042</t>
  </si>
  <si>
    <t>Social medicine -- Periodicals.;Social medicine.</t>
  </si>
  <si>
    <t>Examination Tests from Pathological Physiology</t>
  </si>
  <si>
    <t>Maruna, Pavel</t>
  </si>
  <si>
    <t>RB113 -- .M37 2015eb</t>
  </si>
  <si>
    <t>Physiology, Pathological.</t>
  </si>
  <si>
    <t>Literary Theory : An Historical Introduction</t>
  </si>
  <si>
    <t>Procházka, Martin</t>
  </si>
  <si>
    <t>PN94</t>
  </si>
  <si>
    <t>801.950904</t>
  </si>
  <si>
    <t>Criticism -- History -- 20th century.;Literature -- History and criticism -- Theory, etc.;Literature.</t>
  </si>
  <si>
    <t>Newton: Kosmos, Bios, Logos</t>
  </si>
  <si>
    <t>2015-06-01</t>
  </si>
  <si>
    <t>Stěpánová, Irena</t>
  </si>
  <si>
    <t>B1299.N34 -- S7413 2014eb</t>
  </si>
  <si>
    <t>Newton, Isaac, -- 1642-1727 -- Philosophy.;God.;Philosophy of nature -- History -- 17th century.;Philosophy of nature -- History -- 18th century.</t>
  </si>
  <si>
    <t>Sovereign wealth funds in theory and practice</t>
  </si>
  <si>
    <t>Ander, Jan;Teplý, Petr</t>
  </si>
  <si>
    <t>HJ3801 -- .A53 2014eb</t>
  </si>
  <si>
    <t>332.67;332.67252</t>
  </si>
  <si>
    <t>Sovereign wealth funds.;International finance.;International economic relations.</t>
  </si>
  <si>
    <t>Zažil Jsem Toho Dost</t>
  </si>
  <si>
    <t>P77 -- .S435 2014eb</t>
  </si>
  <si>
    <t>410.904</t>
  </si>
  <si>
    <t>Sgall, Petr, -- 1926-;Linguistics -- History -- 20th century.</t>
  </si>
  <si>
    <t>Rhetoric in European Culture and Beyond</t>
  </si>
  <si>
    <t>2015-05-26</t>
  </si>
  <si>
    <t>Kraus, Jiří</t>
  </si>
  <si>
    <t>PE1408 -- .K738 2014eb</t>
  </si>
  <si>
    <t>808.042</t>
  </si>
  <si>
    <t>English language -- Rhetoric.;English prose literature.</t>
  </si>
  <si>
    <t>Nová Infinitní Matematika: Prolegomena</t>
  </si>
  <si>
    <t>QA299.82 -- .V67 2014eb</t>
  </si>
  <si>
    <t>Nonstandard mathematical analysis.</t>
  </si>
  <si>
    <t>Teorie Výchovy - Tradice, Současnost, Perspektivy : tradice, současnost, perspektivy</t>
  </si>
  <si>
    <t>Jedlička, Richard</t>
  </si>
  <si>
    <t>LA11 -- .T467 2014eb</t>
  </si>
  <si>
    <t>370.9</t>
  </si>
  <si>
    <t>Education -- History.;Education -- International cooperation.</t>
  </si>
  <si>
    <t>Fitness Assessment. Body Composition : Body Composition</t>
  </si>
  <si>
    <t>Malá, Lucia;Malý, Tomás;Zahálka, Frantisek</t>
  </si>
  <si>
    <t>QP34.5 -- .M35 2014eb</t>
  </si>
  <si>
    <t>599.94</t>
  </si>
  <si>
    <t>Body composition.</t>
  </si>
  <si>
    <t>Důchodová Reforma</t>
  </si>
  <si>
    <t>Loužek, Marek</t>
  </si>
  <si>
    <t>Business/Management; Social Science</t>
  </si>
  <si>
    <t>HD7106</t>
  </si>
  <si>
    <t>368.4097</t>
  </si>
  <si>
    <t>Pension policy.;Pension systems.;Retirement income.</t>
  </si>
  <si>
    <t>Romové a Stereotypy</t>
  </si>
  <si>
    <t>Weinerová, Renata</t>
  </si>
  <si>
    <t>KJP5646 -- .W456 2014eb</t>
  </si>
  <si>
    <t>342.4371083</t>
  </si>
  <si>
    <t>Civil rights -- Czech Republic.;Police -- Complaints against -- Czech Republic.</t>
  </si>
  <si>
    <t>Tři Stálice Moderní české Prózy: Neruda, Čapek, Kundera</t>
  </si>
  <si>
    <t>Haman, Ales</t>
  </si>
  <si>
    <t>PG5038 .N45</t>
  </si>
  <si>
    <t>Čapek, Karel,  1890-1938 -- Criticism and interpretation.;Kundera, Milan -- Criticism and interpretation.;Neruda, Jan, 1834-1891 -- Criticism and interpretation.</t>
  </si>
  <si>
    <t>The Irish Franciscans in Prague 1629-1786</t>
  </si>
  <si>
    <t>2016-03-01</t>
  </si>
  <si>
    <t>Pařez, Jan;Kuchařová, Hedvika</t>
  </si>
  <si>
    <t>DB2630 -- .P374 2015eb</t>
  </si>
  <si>
    <t>779.9943712042</t>
  </si>
  <si>
    <t>Prague (Czech Republic) -- History -- Pictorial works.;Prague (Czech Republic) -- History.;Prague (Czech Republic) -- Social policy.</t>
  </si>
  <si>
    <t>Nature in Otokar Březina's Work</t>
  </si>
  <si>
    <t>Holman, Petr</t>
  </si>
  <si>
    <t>PG5038.J4 -- .H656 2014eb</t>
  </si>
  <si>
    <t>891.8614</t>
  </si>
  <si>
    <t>Březina, Otokar, -- 1868-1929 -- Criticism and interpretation.;Nature in literature.</t>
  </si>
  <si>
    <t>Proměny Polonistiky : Tradice a Výzvy Polonistických Studií</t>
  </si>
  <si>
    <t>Benesová, Michala;Rusin Dybalska, Renata;Zakopalová, Lucie</t>
  </si>
  <si>
    <t>Language/Linguistics; Social Science</t>
  </si>
  <si>
    <t>PG6021</t>
  </si>
  <si>
    <t>Polish studies - Czechia.;Polonistiky - Central Europe.;Polonistiky - Czech.</t>
  </si>
  <si>
    <t>Stručná Biostatistika Pro Lékaře</t>
  </si>
  <si>
    <t>Procházka, Bohumír</t>
  </si>
  <si>
    <t>QH323.5</t>
  </si>
  <si>
    <t>570.15195 -- .P763 2015eb</t>
  </si>
  <si>
    <t>Biometry.;Statistics.</t>
  </si>
  <si>
    <t>O Hranicích Dějinných Období : Na Přikladu Středověku a Renesance</t>
  </si>
  <si>
    <t>Medievistika</t>
  </si>
  <si>
    <t>Le Goff, Jacques</t>
  </si>
  <si>
    <t>DS1</t>
  </si>
  <si>
    <t>Middle Ages.;Periodization of history.;Renaissance.</t>
  </si>
  <si>
    <t>Bankovnictví V Teorii a Praxi / Banking in Theory and Practice</t>
  </si>
  <si>
    <t>Mejstřík, Michal;Pečená, Magda;Teplý, Petr</t>
  </si>
  <si>
    <t>HG1709 -- .M457 2014eb</t>
  </si>
  <si>
    <t>332.10285</t>
  </si>
  <si>
    <t>Banks and banking -- Accounting -- Data processing.;Banks and banking -- Accounting.</t>
  </si>
  <si>
    <t>From Iberian Romani to Iberian Para-Romani Varieties</t>
  </si>
  <si>
    <t>2015-05-01</t>
  </si>
  <si>
    <t>2015-07-29</t>
  </si>
  <si>
    <t>Krinková, Zuzana</t>
  </si>
  <si>
    <t>PK2896 -- .K75 2015eb</t>
  </si>
  <si>
    <t>491.497</t>
  </si>
  <si>
    <t>Romani language -- Etymology.;Iberian language -- Etymology.;Romani language -- Dialects.;Iberian language -- Dialects.</t>
  </si>
  <si>
    <t>Skola V Globální Době : Proměny Pěti českých Základních Skol</t>
  </si>
  <si>
    <t>Dvořák, Dominik;Starý, Karel;Urbánek, Petr</t>
  </si>
  <si>
    <t>LB1084 .D384 2015</t>
  </si>
  <si>
    <t>371.20934590</t>
  </si>
  <si>
    <t>Education and globalization.;Education.;Educational change -- Social aspects.</t>
  </si>
  <si>
    <t>Condensed Course of Quantum Mechanics</t>
  </si>
  <si>
    <t>Cejnar, Pavel</t>
  </si>
  <si>
    <t>Science; Science: Physics</t>
  </si>
  <si>
    <t>QC174.14 -- .C45 2013eb</t>
  </si>
  <si>
    <t>530.12</t>
  </si>
  <si>
    <t>Quantum theory -- Textbooks.</t>
  </si>
  <si>
    <t>Sémantika: Elementární a Univerzální Sémantické Jednotky</t>
  </si>
  <si>
    <t>Wierzbicka, Anna</t>
  </si>
  <si>
    <t>P201 -- .W547 2014eb</t>
  </si>
  <si>
    <t>Grammar, Comparative and general.;Language and culture.;Linguistic universals.</t>
  </si>
  <si>
    <t>El Caribe Hispanoparlante en Las Obras de Sus Historiadores : Ibero-Americana Pragensia - Supplementum 35</t>
  </si>
  <si>
    <t>2015-08-05</t>
  </si>
  <si>
    <t>Ibero-Americana Pragensia - Supplementum</t>
  </si>
  <si>
    <t>F1773 -- .C375 2014eb</t>
  </si>
  <si>
    <t>972.910072</t>
  </si>
  <si>
    <t>Cuba -- Historiography.;Puerto Rico -- Historiography.;Caribbean Area -- Historiography.</t>
  </si>
  <si>
    <t>Gerulata : The Lamps</t>
  </si>
  <si>
    <t>2015-06-12</t>
  </si>
  <si>
    <t>Frecer, Robert</t>
  </si>
  <si>
    <t>NK4680 -- .F74 2015eb</t>
  </si>
  <si>
    <t>Pottery, Roman.</t>
  </si>
  <si>
    <t>Jean-Jacques Rousseau: Od ,,Rozpravy o Původu Nerovnosti Ke ,,Společenské Smlouvě</t>
  </si>
  <si>
    <t>2015-12-01</t>
  </si>
  <si>
    <t>Sobotka, Milan</t>
  </si>
  <si>
    <t>B2137 -- .S636 2015eb</t>
  </si>
  <si>
    <t>Rousseau, Jean-Jacques, -- 1712-1778.</t>
  </si>
  <si>
    <t>Las Relaciones Entre Checoslovaquia y América Latina 1945-1989. en Los Archivos de la República Checa : Ibero-Americana Supplementum 38</t>
  </si>
  <si>
    <t>Ibero-Americana Pragensia Supplementum</t>
  </si>
  <si>
    <t>Opatrný, Josef;Zourek, Michal;Majlátová, Lucia</t>
  </si>
  <si>
    <t>DB2055 -- .R453 2015eb</t>
  </si>
  <si>
    <t>943.7103</t>
  </si>
  <si>
    <t>Czech Republic -- Historiography.;Czechoslovakia -- Historiography.;Latin America -- Historiography.</t>
  </si>
  <si>
    <t>Filologické Studie 2014. Canon. Otázky Kánonu V Literatuře a Vzdělávání</t>
  </si>
  <si>
    <t>autorů, kolektiv</t>
  </si>
  <si>
    <t>P25</t>
  </si>
  <si>
    <t>Canon (Literature).;Historical linguistics.;Philology.</t>
  </si>
  <si>
    <t>Masáz a Regenerace Ve Sportu</t>
  </si>
  <si>
    <t>Hosková, Blanka;Majorová, Simona;Nováková, Pavlína</t>
  </si>
  <si>
    <t>RC1226 -- .H675 2015eb</t>
  </si>
  <si>
    <t>615.822088796</t>
  </si>
  <si>
    <t>Sports massage.;Regeneration (Biology)</t>
  </si>
  <si>
    <t>Od Národního Státu Ke Státu Národností? : Národnostní Statut a Snahy o řesení Mensinové Otázky V Československu V Roce 1938</t>
  </si>
  <si>
    <t>2014-03-31</t>
  </si>
  <si>
    <t>Němeček, Jan;Kuklík, Jan</t>
  </si>
  <si>
    <t>K3242 -- .K855 2013eb</t>
  </si>
  <si>
    <t>341.481</t>
  </si>
  <si>
    <t>Minorities -- Legal status, laws, etc. -- Czechoslovakia -- History.;Minorities -- Government policy -- Czechoslovakia -- History.;Czechoslovakia -- Ethnic relations -- Political aspects.;Czechoslovakia -- Politics and government -- 1918-1938.</t>
  </si>
  <si>
    <t>Ježís a Mýtus o Kristu</t>
  </si>
  <si>
    <t>2007-04-01</t>
  </si>
  <si>
    <t>BT203 -- .F863 2007eb</t>
  </si>
  <si>
    <t>Jesus Christ.;Bible -- Criticism, interpretation, etc.</t>
  </si>
  <si>
    <t>Jan Hus Známý I Neznámý (Resumé Knihy, Která Nebude Napsána) : Resumé knihy, která nebude napsána</t>
  </si>
  <si>
    <t>2009-05-01</t>
  </si>
  <si>
    <t>Kejř, Jiří</t>
  </si>
  <si>
    <t>BX4917 -- .K455 2009eb</t>
  </si>
  <si>
    <t>284.3</t>
  </si>
  <si>
    <t>Hus, Jan, -- 1369?-1415.;Reformation -- Czech Republic -- Bohemia -- Biography.</t>
  </si>
  <si>
    <t>Jeden Za Vsechny, Vsichni Za Jednoho! : Bund der Deutschen a Jeho Předchůdci V Procesu Utváření Sudetoněmecké Identity</t>
  </si>
  <si>
    <t>Balcarová, Jitka</t>
  </si>
  <si>
    <t>DB2500.S94 -- .B353 2013eb</t>
  </si>
  <si>
    <t>943.71</t>
  </si>
  <si>
    <t>Germans -- Czech Republic -- Sudetenland -- Politics and government.;Nationalism -- Germany -- History.;Czechoslovakia -- Foreign relations -- Germany.;Germany -- Foreign relations -- Czechoslovakia.</t>
  </si>
  <si>
    <t>Když Se Rákos Chvěje Nad Hladinou</t>
  </si>
  <si>
    <t>2009-04-01</t>
  </si>
  <si>
    <t>B4802 -- .F863 2009eb</t>
  </si>
  <si>
    <t>199.437</t>
  </si>
  <si>
    <t>Funda, Otakar A.;Philosophy, Czech -- 20th century.;Environmental ethics.</t>
  </si>
  <si>
    <t>Náboženství V české Společnosti Na Prahu 3. Tísiciletí</t>
  </si>
  <si>
    <t>Hamplová, Dana</t>
  </si>
  <si>
    <t>BL80.2 -- .H367 2013eb</t>
  </si>
  <si>
    <t>Religions -- Czech Republic.;Czech Republic -- Religion -- History.</t>
  </si>
  <si>
    <t>Popely Jestě žhavé. I. - Válka a Nukleární Mír : Válka a nukleární mír</t>
  </si>
  <si>
    <t>2004-05-01</t>
  </si>
  <si>
    <t>Durman, Karel</t>
  </si>
  <si>
    <t>D843 -- .D876 2004eb</t>
  </si>
  <si>
    <t>909.82</t>
  </si>
  <si>
    <t>World politics -- 1945-1989.;World politics -- 1933-1945.;World politics -- 1985-1995.</t>
  </si>
  <si>
    <t>Rétorika v evropské kultuře</t>
  </si>
  <si>
    <t>2010-12-01</t>
  </si>
  <si>
    <t>PN183 -- .K738 2011eb</t>
  </si>
  <si>
    <t>808.009</t>
  </si>
  <si>
    <t>Rhetoric -- History.;European literature -- History and criticism.</t>
  </si>
  <si>
    <t>Z dějin české Každodennosti. Život V 19. Století : Život v 19. století</t>
  </si>
  <si>
    <t>2009-12-01</t>
  </si>
  <si>
    <t>Lenderová, Milena;Jiránek, Tomás;Macková, Marie</t>
  </si>
  <si>
    <t>DB2178 -- .L463 2009eb</t>
  </si>
  <si>
    <t>390.094371</t>
  </si>
  <si>
    <t>Families -- Czech Republic -- History -- 19th century.;Czech Republic -- Social life and customs -- 19th century.;Czech Republic -- Social conditions -- 19th century.</t>
  </si>
  <si>
    <t>Browningová Nebo Klásterský? Krásnohorská Nebo Byron? : O Rodu V životě Literatury</t>
  </si>
  <si>
    <t>Kalivodová, Eva</t>
  </si>
  <si>
    <t>PG5006 -- .K355 2010eb</t>
  </si>
  <si>
    <t>Czech literature -- 19th century -- History and criticism.;English literature -- 19th century -- History and criticism.;Women in literature.;Czech literature.;English literature.</t>
  </si>
  <si>
    <t>Česká Základní Skola</t>
  </si>
  <si>
    <t>Dvořák, Dominik</t>
  </si>
  <si>
    <t>LA688.C95 -- .C475 2010eb</t>
  </si>
  <si>
    <t>370.9437</t>
  </si>
  <si>
    <t>Education, Primary -- Czechoslovakia.;Education, Primary -- Czech Republic.;Elementary schools -- Czech Republic.</t>
  </si>
  <si>
    <t>Popely Jestě žhavé. II. - Konce Dobrodružství : Konce dobrodružství</t>
  </si>
  <si>
    <t>D843 -- .D876 2009eb</t>
  </si>
  <si>
    <t>909.825</t>
  </si>
  <si>
    <t>Cold War.;World politics -- 20th century.;History, Modern -- 20th century.;World politics -- 1945-1989.</t>
  </si>
  <si>
    <t>Učitelé Na Vlnách Transformace : Kultura Skoly Před Rokem 1989 a Po Něm</t>
  </si>
  <si>
    <t>Moree, Dana</t>
  </si>
  <si>
    <t>LB1555 -- .M674 2013eb</t>
  </si>
  <si>
    <t>372.1102</t>
  </si>
  <si>
    <t>Elementary school teachers -- Czech Republic.</t>
  </si>
  <si>
    <t>Před úsvitem, Po Ránu. Eseje o dětech a Rodičích : Eseje o dětech a rodičích</t>
  </si>
  <si>
    <t>2008-04-01</t>
  </si>
  <si>
    <t>Home Economics; Social Science</t>
  </si>
  <si>
    <t>HQ755.8 -- .K685 2008eb</t>
  </si>
  <si>
    <t>649.1</t>
  </si>
  <si>
    <t>Parenting.;Motherhood.;Child psychology.;Developmental psychology.;Brain.;Neuropsychology.</t>
  </si>
  <si>
    <t>Nejspanilejsí Ze Vsech Bohů. Eseje</t>
  </si>
  <si>
    <t>Social Science; Health; Medicine</t>
  </si>
  <si>
    <t>RC343 -- .K685 2012eb</t>
  </si>
  <si>
    <t>362.19689</t>
  </si>
  <si>
    <t>Neurosciences -- Social aspects.;Neuropsychology.;Free will and determinism.;Love.;Spirituality.</t>
  </si>
  <si>
    <t>Kant und die Biblische Offenbarungsreligion / Kant a Biblické Zjevené NáboEnství : Kant a biblické zjevené náboženství</t>
  </si>
  <si>
    <t>Sirovátka, Jakub;Vopřada, David</t>
  </si>
  <si>
    <t>B2798.K36 2013</t>
  </si>
  <si>
    <t>Christianity.</t>
  </si>
  <si>
    <t>Volební Právo Cizinců V Komunálních Volbách České Republiky a Jeho Využití</t>
  </si>
  <si>
    <t>Machová, Zuzana</t>
  </si>
  <si>
    <t>JN2228 -- .M334 2013eb</t>
  </si>
  <si>
    <t>324.943703</t>
  </si>
  <si>
    <t>Elections -- Czech Republic.;Suffrage -- Alien -- Czech Republic.</t>
  </si>
  <si>
    <t>Zatížení Hráče V Utkání</t>
  </si>
  <si>
    <t>Süss, Vladimír;Tůma, Martin</t>
  </si>
  <si>
    <t>GV697.A1 -- .S877 2011eb</t>
  </si>
  <si>
    <t>796.0922</t>
  </si>
  <si>
    <t>Physical activity, aging and sports.;Athletes.</t>
  </si>
  <si>
    <t>Biomedicínská Statistika IV : Základy Statistiky V Prostředí R</t>
  </si>
  <si>
    <t>Zvára, Karel</t>
  </si>
  <si>
    <t>QA276 -- .Z837 2013eb</t>
  </si>
  <si>
    <t>519.5</t>
  </si>
  <si>
    <t>Mathematical statistics.</t>
  </si>
  <si>
    <t>Já. o Mozku, Vědomí a Sebeuvědomování : O mozku, vědomí a sebeuvědomování</t>
  </si>
  <si>
    <t>QP376 -- .F736 2013eb</t>
  </si>
  <si>
    <t>Brain -- Popular works.;Brain -- Physiology.</t>
  </si>
  <si>
    <t>Laudabile Carmen - část I : Římská Metrika</t>
  </si>
  <si>
    <t>Kuťáková, Eva</t>
  </si>
  <si>
    <t>P311 -- .K883 2012eb</t>
  </si>
  <si>
    <t>808.1</t>
  </si>
  <si>
    <t>Versification.</t>
  </si>
  <si>
    <t>Tělovýchova a Sport Ve Službách české Národní Emancipace</t>
  </si>
  <si>
    <t>Waic, Marek</t>
  </si>
  <si>
    <t>GV288.C9 -- .W353 2013eb</t>
  </si>
  <si>
    <t>Physical education and training -- Czechoslovakia.</t>
  </si>
  <si>
    <t>Tvorba Jako Způsob Poznávání</t>
  </si>
  <si>
    <t>2014-05-16</t>
  </si>
  <si>
    <t>Slavík, Jan;Chrz, Vladimír;Stech, Stanislav</t>
  </si>
  <si>
    <t>LB1062 -- .S538 2013eb</t>
  </si>
  <si>
    <t>370.152</t>
  </si>
  <si>
    <t>Creative ability.;Creative thinking.</t>
  </si>
  <si>
    <t>Lotysská Kultura a Jednota Bratrská : České Kontexty Lotysských Kulturních Tradic V 17. -20. Století</t>
  </si>
  <si>
    <t>Stoll, Pavel</t>
  </si>
  <si>
    <t>BX4922 -- .S765 2013eb</t>
  </si>
  <si>
    <t>Bohemian Brethren.;Latvian literature.</t>
  </si>
  <si>
    <t>Civilní náboženství : Nový pohled na to, na čem nám skutečně záleží</t>
  </si>
  <si>
    <t>Jüptner, Jan</t>
  </si>
  <si>
    <t>Religion; Social Science</t>
  </si>
  <si>
    <t>BL98.5 -- .J78 2013eb</t>
  </si>
  <si>
    <t>306.6</t>
  </si>
  <si>
    <t>Civil religion.;Religion and sociology.</t>
  </si>
  <si>
    <t>Genderové Aspekty Ve Slovanské Frazeologii (Na Materiálu BěLorustiny, Polstiny a čEstiny)</t>
  </si>
  <si>
    <t>2014-06-27</t>
  </si>
  <si>
    <t>Kedron, Katerina</t>
  </si>
  <si>
    <t>P326.5.P45 -- .K437 2014eb</t>
  </si>
  <si>
    <t>Phraseology -- Cross-cultural studies.;Belarusian language -- Phraseology.;Polish language -- Phraseology.;Czech language -- Phraseology.</t>
  </si>
  <si>
    <t>Elements of Time Series Econometrics : An Applied Approach</t>
  </si>
  <si>
    <t>2014-11-10</t>
  </si>
  <si>
    <t>2014-10-14</t>
  </si>
  <si>
    <t>Kocenda, Evzen;Černý, Alexandr</t>
  </si>
  <si>
    <t>HB139 -- .K64 2014eb</t>
  </si>
  <si>
    <t>330.015195</t>
  </si>
  <si>
    <t>Econometrics.;Time-series analysis.</t>
  </si>
  <si>
    <t>Cur Homo? a History of the Thesis Concerning Man As a Replacement for Fallen Angels : A History of the Thesis of Man As a Replacement for Fallen Angels</t>
  </si>
  <si>
    <t>BT701.2 -- .N686 2014eb</t>
  </si>
  <si>
    <t>Theological anthropology -- Christianity -- History -- To 1500.</t>
  </si>
  <si>
    <t>Souhrnné Texty Z Chemie Pro Přípravu K Přijímacím Zkouskám I.</t>
  </si>
  <si>
    <t>2014-10-31</t>
  </si>
  <si>
    <t>Streblová, Eva</t>
  </si>
  <si>
    <t>QD35 -- .S774 2012eb</t>
  </si>
  <si>
    <t>Chemistry.;Chemistry -- Popular works.</t>
  </si>
  <si>
    <t>Připravujeme Se K Certifikované Zkousce Z čestiny. Úroveň B1 : Úroveň B1 (CCE B1)</t>
  </si>
  <si>
    <t>Boccou Kestřánková, Marie;Hodousková, Andrea;Hůlková Nývltová, Dana</t>
  </si>
  <si>
    <t>DB215 -- .P757 2013eb</t>
  </si>
  <si>
    <t>Czech language -- Examinations, questions, etc.;Czech language -- Examinations -- Study guides.;Czech Republic -- Languages -- Examinations, questions, etc.</t>
  </si>
  <si>
    <t>Počátky Avignonského Papežství a české Země</t>
  </si>
  <si>
    <t>Hledíková, Zdeňka</t>
  </si>
  <si>
    <t>BX1300 -- .H543 2013eb</t>
  </si>
  <si>
    <t>262.1309023</t>
  </si>
  <si>
    <t>Catholic Church -- History -- 14th century.;Papacy -- History -- 1309-1378.;Church and state -- Czech Republic -- Bohemia -- 14th century.</t>
  </si>
  <si>
    <t>Souhrnné Texty Z Chemie Pro Přípravu K Přijímacím Zkouskám II</t>
  </si>
  <si>
    <t>QD42 -- .S774 2012eb</t>
  </si>
  <si>
    <t>540.76</t>
  </si>
  <si>
    <t>Chemistry -- Examinations, questions, etc.</t>
  </si>
  <si>
    <t>Čestina V Pohledu Synchronním a Diachronním</t>
  </si>
  <si>
    <t>Čmejrková, Světla;Hoffmannová, Jana;Klímová, Jana</t>
  </si>
  <si>
    <t>PG4026.U87 -- .C47 2012eb</t>
  </si>
  <si>
    <t>Czech language -- Congresses.</t>
  </si>
  <si>
    <t>Morální Vývoj Skoláků a Předskoláků : Paradigmatické Výzvy Dle Jeana Piageta</t>
  </si>
  <si>
    <t>Klusák, Miroslav</t>
  </si>
  <si>
    <t>BF723.M54 -- .K587 2014eb</t>
  </si>
  <si>
    <t>155.25</t>
  </si>
  <si>
    <t>Piaget, Jean, -- 1896-1980.;Moral development.;Preschool children.</t>
  </si>
  <si>
    <t>Maďarstí Básníci 19. Století V českých Překladech : (Mihály Vörösmarty, János Arany, Sándor Petöfi)</t>
  </si>
  <si>
    <t>2014-12-18</t>
  </si>
  <si>
    <t>Kolmanová, Simona</t>
  </si>
  <si>
    <t>Language/Linguistics; Geography/Travel</t>
  </si>
  <si>
    <t>PH3363 -- .K656 2014eb</t>
  </si>
  <si>
    <t>914.391035</t>
  </si>
  <si>
    <t>Vörösmarty, Mihály, -- 1800-1855.;Arany, János, -- 1817-1882.;Petőfi, Sándor, -- 1823-1849.</t>
  </si>
  <si>
    <t>La identidad cultural de los Nahuas de la Sierra Nororiental de Puebla y la influencia de la Unión de Cooperativas Tosepan</t>
  </si>
  <si>
    <t>F1392.A1 -- .B476 2014eb</t>
  </si>
  <si>
    <t>Mexico -- Ethnic relations -- Case studies.;Mexico -- History -- Case studies.</t>
  </si>
  <si>
    <t>Nádoba plná řeči (Člověk, řeč a přirozený svět)</t>
  </si>
  <si>
    <t>2007-07-01</t>
  </si>
  <si>
    <t>Vaňková, Irena</t>
  </si>
  <si>
    <t>P165 -- .V35 2007eb</t>
  </si>
  <si>
    <t>Cognitive grammar.;Anthropological linguistics.;Language and languages -- Philosophy.</t>
  </si>
  <si>
    <t>Soudobá Sociologie IV : Aktuální a Každodenní</t>
  </si>
  <si>
    <t>HM447 -- .S837 2010eb</t>
  </si>
  <si>
    <t>Everyday Spooks</t>
  </si>
  <si>
    <t>2015-01-08</t>
  </si>
  <si>
    <t>Michal, Karel</t>
  </si>
  <si>
    <t>PQ2683.I32 -- .M534 2014eb</t>
  </si>
  <si>
    <t>Holocaust, Jewish (1939-1945) -- Fiction.</t>
  </si>
  <si>
    <t>Skolní Vzdělávání V Estonsku</t>
  </si>
  <si>
    <t>2014-12-01</t>
  </si>
  <si>
    <t>2015-05-07</t>
  </si>
  <si>
    <t>Jezková, Věra;Krull, Edgar;Trasbergová, Karmen</t>
  </si>
  <si>
    <t>LA850.2 -- .J495 2014eb</t>
  </si>
  <si>
    <t>370.94741</t>
  </si>
  <si>
    <t>Education -- Estonia.;Education -- Curricula -- Estonia.</t>
  </si>
  <si>
    <t>In the Shadow of Munich. British Policy Towards Czechoslovakia from 1938 To 1942 : British Policy towards Czechoslovakia from the Endorsement to the Renunciation of the Munich Agreement (1938–1942)</t>
  </si>
  <si>
    <t>Smetana, Vít</t>
  </si>
  <si>
    <t>DA47.9.C95 -- S64 2014eb</t>
  </si>
  <si>
    <t>327.410437</t>
  </si>
  <si>
    <t>Munich Four-Power Agreement -- (1938);Great Britain -- Foreign relations -- Czechoslovakia.;Czechoslovakia -- Foreign relations -- Great Britain.</t>
  </si>
  <si>
    <t>Kapitoly o českém Versi</t>
  </si>
  <si>
    <t>Červenka, Miroslav</t>
  </si>
  <si>
    <t>PG4511 -- .C478 2006eb</t>
  </si>
  <si>
    <t>891.861509</t>
  </si>
  <si>
    <t>Czech language -- Versification.;Czech language -- Metrics and rhythmics.;Czech poetry -- 19th century -- History and criticism.;Czech poetry -- 20th century -- History and criticism.</t>
  </si>
  <si>
    <t>Edvard Beneš, Politická biografie českého demokrata, Část první Revolucionář a diplomat (1884–1935)</t>
  </si>
  <si>
    <t>2006-10-01</t>
  </si>
  <si>
    <t>DB2191.B45 -- .D456 2006eb</t>
  </si>
  <si>
    <t>943.703092</t>
  </si>
  <si>
    <t>Beneš, Edvard, -- 1884-1948.</t>
  </si>
  <si>
    <t>Korespondence V čestině: Příručka Pro Cizince</t>
  </si>
  <si>
    <t>2015-05-08</t>
  </si>
  <si>
    <t>Bozděchová, Ivana</t>
  </si>
  <si>
    <t>Business/Management</t>
  </si>
  <si>
    <t>HF5726 -- .B69 2015eb</t>
  </si>
  <si>
    <t>651.75</t>
  </si>
  <si>
    <t>Commercial correspondence -- Handbooks, manuals, etc.</t>
  </si>
  <si>
    <t>Grammatykáři. Gramatografická a Kulturní Reflexe čEstiny 1533-1672</t>
  </si>
  <si>
    <t>Koupil, Ondřej</t>
  </si>
  <si>
    <t>P121.C94 -- .K68 2015eb</t>
  </si>
  <si>
    <t>Philology -- Czech Republic -- 16th century.;Philology -- Czech Republic -- 17th century.;Philologists -- Czech Republic -- 16th century.;Philologists -- Czech Republic -- 17th century.;Grammarians -- Czech Republic -- 16th century.;Grammarians -- Czech Republic -- 17th century.</t>
  </si>
  <si>
    <t>Komparace Názorů a Postojů české Veřejnosti K Zivotosprávě, Pohybovým Aktivitám a Sportu</t>
  </si>
  <si>
    <t>RA776.9 -- .C94 2015eb</t>
  </si>
  <si>
    <t>Health behavior -- Czech Republic.;Sports -- Czech Republic.</t>
  </si>
  <si>
    <t>Fonetika a Fonologie Současné Spanělstiny</t>
  </si>
  <si>
    <t>Čermák, Petr</t>
  </si>
  <si>
    <t>PC4135 -- .-10C;47 2015eb</t>
  </si>
  <si>
    <t>461.5</t>
  </si>
  <si>
    <t>Spanish language -- Phonetics.;Spanish language -- Phonology.</t>
  </si>
  <si>
    <t>Třetí Strana Trojúhelníku. Teorie a Praxe orální Historie : Teorie a praxe orální historie</t>
  </si>
  <si>
    <t>Vaněk, Miroslav;Mücke, Pavel</t>
  </si>
  <si>
    <t>D16.14 -- .V36 2015eb</t>
  </si>
  <si>
    <t>Pojisťovny Ve Sluzbách Hákového Kříze : Prosazování Německých Zájmů V Protektorátním Pojisťovnictví, Arizace Pojistek a Mezinárodní Odskodňování</t>
  </si>
  <si>
    <t>Jelínek, Tomás</t>
  </si>
  <si>
    <t>HG8051 -- .J45 2015eb</t>
  </si>
  <si>
    <t>Insurance.;International economic relations.</t>
  </si>
  <si>
    <t>Zkusební Testy Z Patologické Fyziologie</t>
  </si>
  <si>
    <t>Základy Biologie, Ekologie a Systému Bezobratlých Zivočichů</t>
  </si>
  <si>
    <t>Smrz, Jaroslav</t>
  </si>
  <si>
    <t>Science; Science: Zoology</t>
  </si>
  <si>
    <t>QL362 -- .S67 2013eb</t>
  </si>
  <si>
    <t>Invertebrates.;Zoology.;Ecology.</t>
  </si>
  <si>
    <t>Přílezitosti a Výzvy V Komunikaci Církve V 21. Století</t>
  </si>
  <si>
    <t>2015-06-09</t>
  </si>
  <si>
    <t>Koudelková, Petra</t>
  </si>
  <si>
    <t>BX1795.C67 -- .P755 2015eb</t>
  </si>
  <si>
    <t>261.52</t>
  </si>
  <si>
    <t>Communication -- Religious aspects -- Catholic Church.;Mass media -- Religious aspects -- Catholic Church.</t>
  </si>
  <si>
    <t>Od Hirosimy Po Bělehrad. Válka a Mír V Druhé Polovině 20. Století : Válka a mír v druhé polovině 20. století</t>
  </si>
  <si>
    <t>Eichler, Jan</t>
  </si>
  <si>
    <t>JZ5548 -- .E334 2014eb</t>
  </si>
  <si>
    <t>327.17209</t>
  </si>
  <si>
    <t>Peace -- History.;War -- History.</t>
  </si>
  <si>
    <t>Heterocosmica II. Fikční Světy Postmoderní české Prózy : Fikční světy postmoderní české prózy</t>
  </si>
  <si>
    <t>Doležel, Lubomír</t>
  </si>
  <si>
    <t>PG5010 -- .D654 2014eb</t>
  </si>
  <si>
    <t>891.8687</t>
  </si>
  <si>
    <t>Czech prose literature -- History and criticism.;Postmodernism (Literature) -- Czech Republic.</t>
  </si>
  <si>
    <t>Od Sarajeva Po Hirosimu. Válka a Mír V První Polovině 20. Století : Válka a mír v první polovině 20. století</t>
  </si>
  <si>
    <t>HM1033 -- .E334 2013eb</t>
  </si>
  <si>
    <t>153.13</t>
  </si>
  <si>
    <t>Collective memory.;World history -- Sources.</t>
  </si>
  <si>
    <t>Pod Kuratelou Německé říse : Zemědělství Protektorátu Čechy a Morava</t>
  </si>
  <si>
    <t>Stolleová, Barbora</t>
  </si>
  <si>
    <t>Business/Management; Economics; Agriculture</t>
  </si>
  <si>
    <t>HD1940.C92 -- .S765 2014eb</t>
  </si>
  <si>
    <t>338.109437</t>
  </si>
  <si>
    <t>Agriculture -- Economic aspects -- Czechoslovakia.;Agriculture and state -- Czechoslovakia.;Czech Republic -- Economic policy.;Czechoslovakia -- Economic conditions -- 1918-1945.</t>
  </si>
  <si>
    <t>Od Slova K Revoluci. Poetický Svět Raného Majakovského Prizmatem Lingvistické Analýzy : Poetický svět raného Majakovského prizmatem lingvistické analýzy</t>
  </si>
  <si>
    <t>Kitzlerová, Jana</t>
  </si>
  <si>
    <t>PG3476.M312 -- .K589 2014eb</t>
  </si>
  <si>
    <t>891.7142</t>
  </si>
  <si>
    <t>Mayakovsky, Vladimir, -- 1893-1930.;Poets, Russian -- 20th century -- Correspondence.;Russian poetry -- History and criticism.</t>
  </si>
  <si>
    <t>Čestina Bez Příkras</t>
  </si>
  <si>
    <t>Sgall, Petr;Hronek, Jiří</t>
  </si>
  <si>
    <t>PG4074.8 -- .S435 2014eb</t>
  </si>
  <si>
    <t>Czech language -- Spoken Czech.;Czech language -- Standardization.;Czech language -- Variation.</t>
  </si>
  <si>
    <t>Rozbor Nynějsí Spisovné Angličtiny</t>
  </si>
  <si>
    <t>Trnka, Bohumil</t>
  </si>
  <si>
    <t>PE1133 -- .T765 2014eb</t>
  </si>
  <si>
    <t>421.5</t>
  </si>
  <si>
    <t>English language -- Phonology.;English language -- Morphology.;English language -- Syntax.</t>
  </si>
  <si>
    <t>Jazyk a SlovníK. Vybrané Lingvistické Studie : Vybrané lingvistické studie</t>
  </si>
  <si>
    <t>P121 -- .C476 2014eb</t>
  </si>
  <si>
    <t>Linguistics.;Semiotics.;Sociolinguistics.</t>
  </si>
  <si>
    <t>Checoslovaquia y el Cono Sur 1945-1989. Relaciones Políticas, Económicas y Culturales Durante la Guerra Fría : Relaciones políticas, económicas y culturales durante la Guerra Fría</t>
  </si>
  <si>
    <t>Zourek, Michal</t>
  </si>
  <si>
    <t>History; Political Science</t>
  </si>
  <si>
    <t>F2833 -- .Z687 2014eb</t>
  </si>
  <si>
    <t>327.82</t>
  </si>
  <si>
    <t>Argentina -- Foreign relations.;Chile -- Cultural policy -- 1945-1956.;Chile -- Economic policy -- 1945-1989.;Chile -- Foreign relations.;Czechoslovakia -- Cultural policy -- 1945-1956.;Czechoslovakia -- Foreign relations.</t>
  </si>
  <si>
    <t>Un été Capricieux</t>
  </si>
  <si>
    <t>2015-07-25</t>
  </si>
  <si>
    <t>Vančura, Vladislav</t>
  </si>
  <si>
    <t>PG5038.V3 -- .V363 2014eb</t>
  </si>
  <si>
    <t>Van♯‍ura, Vladislav, -- 1891-1942.</t>
  </si>
  <si>
    <t>Politické Aspekty Financování českých Měst</t>
  </si>
  <si>
    <t>Kruntorádová, Ilona</t>
  </si>
  <si>
    <t>DB2063 -- .K786 2015eb</t>
  </si>
  <si>
    <t>Czech Republic -- Politics and governance.;Czech Republic -- History.</t>
  </si>
  <si>
    <t>Příležitosti a výzvy environmentálního výzkumu</t>
  </si>
  <si>
    <t>2015-07-28</t>
  </si>
  <si>
    <t>Frouz, Jan;Moldan, Bedřich</t>
  </si>
  <si>
    <t>Engineering: Environmental; Engineering; Environmental Studies</t>
  </si>
  <si>
    <t>TD170 -- .P5 2015eb</t>
  </si>
  <si>
    <t>363.7</t>
  </si>
  <si>
    <t>Environmental protection.;Environmental sciences -- Research.;Environmental sciences.</t>
  </si>
  <si>
    <t>Literatura K dějinám Umění : Vývojový Přehled</t>
  </si>
  <si>
    <t>Wittlich, Petr</t>
  </si>
  <si>
    <t>N7480 -- .W588 2015eb</t>
  </si>
  <si>
    <t>707.2</t>
  </si>
  <si>
    <t>Art -- Historiography.;Art and history.;History in art.</t>
  </si>
  <si>
    <t>Základy lékařské Fyziky</t>
  </si>
  <si>
    <t>2015-07-01</t>
  </si>
  <si>
    <t>2016-02-17</t>
  </si>
  <si>
    <t>Benes, Jiří;Jirák, Daniel;Vítek, Frantisek</t>
  </si>
  <si>
    <t>R895 -- .B464 2015eb</t>
  </si>
  <si>
    <t>610.15300000000002</t>
  </si>
  <si>
    <t>Medical physics--Textbooks.</t>
  </si>
  <si>
    <t>Indie očima Evropanů: Orientalistika, Teologie a Konceptualizace Nábozenství</t>
  </si>
  <si>
    <t>2015-08-01</t>
  </si>
  <si>
    <t>Fárek, Martin</t>
  </si>
  <si>
    <t>DS423 -- .F374 2014eb</t>
  </si>
  <si>
    <t>India--Civilization.</t>
  </si>
  <si>
    <t>Mluvnice Současné čestiny I. Jak Se Píse a Jak Se Mluví</t>
  </si>
  <si>
    <t>Cvrček, Václav</t>
  </si>
  <si>
    <t>PG4111 -- .C873 2015eb</t>
  </si>
  <si>
    <t>491.86824209999997</t>
  </si>
  <si>
    <t>Czech language--Grammar.</t>
  </si>
  <si>
    <t>From Syntax to Text: the Janus Face of Functional Sentence Perspective</t>
  </si>
  <si>
    <t>2015-09-01</t>
  </si>
  <si>
    <t>Dusková, Libuse</t>
  </si>
  <si>
    <t>P291 -- .D87 2015eb</t>
  </si>
  <si>
    <t>Grammar, Comparative and general--Syntax.</t>
  </si>
  <si>
    <t>Rozvoj Hospicové Péče a Její Bariéry</t>
  </si>
  <si>
    <t>Tomes, Igor;Dragomirecká, Eva;Sedlárová, Katarina</t>
  </si>
  <si>
    <t>R726.8 -- .R698 2015eb</t>
  </si>
  <si>
    <t>362.17559999999997</t>
  </si>
  <si>
    <t>Hospice care.</t>
  </si>
  <si>
    <t>Dramatik Frantisek Adolf Subert</t>
  </si>
  <si>
    <t>2016-03-03</t>
  </si>
  <si>
    <t>Veselý, Antonín</t>
  </si>
  <si>
    <t>PG5038.S8248Z94 2015</t>
  </si>
  <si>
    <t>Subert, Frantisek Adolf,</t>
  </si>
  <si>
    <t>Guide to Basic Medical Terminology</t>
  </si>
  <si>
    <t>R123 -- .C476 2015eb</t>
  </si>
  <si>
    <t>610.14</t>
  </si>
  <si>
    <t>Medicine--Terminology.</t>
  </si>
  <si>
    <t>Česká Psychopedie</t>
  </si>
  <si>
    <t>Černá, Marie;Siska, Jan;Strnadová, Iva</t>
  </si>
  <si>
    <t>LC4601 -- .C475 2015eb</t>
  </si>
  <si>
    <t>371.928</t>
  </si>
  <si>
    <t>Children with mental disabilities--Education--Czech Republic.</t>
  </si>
  <si>
    <t>Beyond Decadence : Exposing the Narrative Irony in Jan Opolský's Prose</t>
  </si>
  <si>
    <t>Butler, Peter</t>
  </si>
  <si>
    <t>PG5038.O665 -- Z59 2015eb</t>
  </si>
  <si>
    <t>Czech literature--20th century--History and criticism.</t>
  </si>
  <si>
    <t>Diagnostika Poruch Vědomí V Klinické Praxi</t>
  </si>
  <si>
    <t>2004-11-01</t>
  </si>
  <si>
    <t>Bartos, Ales;Bakalář, Bohumil;Čech, Pavel</t>
  </si>
  <si>
    <t>RB150.L67 -- .D534 2015eb</t>
  </si>
  <si>
    <t>616.04700000000003</t>
  </si>
  <si>
    <t>Syncope (Pathology)</t>
  </si>
  <si>
    <t>Psychiatrie a Pedopsychiatrie</t>
  </si>
  <si>
    <t>2015-10-01</t>
  </si>
  <si>
    <t>Hosák, Ladislav;Hrdlička, Michal;Libiger, Jan</t>
  </si>
  <si>
    <t>Psychology; Medicine</t>
  </si>
  <si>
    <t>RJ499 -- .P793 2016eb</t>
  </si>
  <si>
    <t>618.9289</t>
  </si>
  <si>
    <t>Child psychiatry.</t>
  </si>
  <si>
    <t>Skalní Umění : Portugalská Nalezistě Foz Côa a Mazouco</t>
  </si>
  <si>
    <t>Půtová, Barbora</t>
  </si>
  <si>
    <t>GN799.P4 -- .P886 2015eb</t>
  </si>
  <si>
    <t>709.01130000000001</t>
  </si>
  <si>
    <t>Petroglyphs.</t>
  </si>
  <si>
    <t>Právní Situace Litoměřické Diecéze V Letech 1989-2010</t>
  </si>
  <si>
    <t>Přibyl, Stanislav</t>
  </si>
  <si>
    <t>BX1490 -- .P753 2015eb</t>
  </si>
  <si>
    <t>282.39999999999998</t>
  </si>
  <si>
    <t>Ecclesiastical law--Czech Republic--1981-2010.</t>
  </si>
  <si>
    <t>Fenomén Výchovy a Etika Učitelského Povolání</t>
  </si>
  <si>
    <t>Pelcová, Naděžda;Semrádová, Ilona</t>
  </si>
  <si>
    <t>LB2806 -- .P453 2015eb</t>
  </si>
  <si>
    <t>371.2</t>
  </si>
  <si>
    <t>Educational leadership--Moral and ethical aspects.</t>
  </si>
  <si>
    <t>Sedm Tváří Translatologie : Teorie Překladu a Tlumočení Prizmatem Současných Spanělských Translatologů</t>
  </si>
  <si>
    <t>Vavrousová, Petra</t>
  </si>
  <si>
    <t>P306.2 -- .S436 2015eb</t>
  </si>
  <si>
    <t>Translating and interpreting--Methodology.</t>
  </si>
  <si>
    <t>Survey of Topographical Anatomy</t>
  </si>
  <si>
    <t>Kos, Jaroslav;Heřt, Jiří</t>
  </si>
  <si>
    <t>QM531 -- .K67 2014eb</t>
  </si>
  <si>
    <t>Anatomy, Surgical and topographical.</t>
  </si>
  <si>
    <t>Základy Plastické Chirurgie</t>
  </si>
  <si>
    <t>2015-11-01</t>
  </si>
  <si>
    <t>Měsťák, Jan;Molitor, Martin;Měsťák, Ondřej</t>
  </si>
  <si>
    <t>RD118 -- .Z355 2015eb</t>
  </si>
  <si>
    <t>617.95000000000005</t>
  </si>
  <si>
    <t>Surgery, Plastic.</t>
  </si>
  <si>
    <t>Po Cestách Kritického Myslení</t>
  </si>
  <si>
    <t>Paitlová, Jitka</t>
  </si>
  <si>
    <t>Psychology; Philosophy</t>
  </si>
  <si>
    <t>BF441 -- .P6 2015eb</t>
  </si>
  <si>
    <t>Critical thinking.</t>
  </si>
  <si>
    <t>Základy Infekčního Lékařství</t>
  </si>
  <si>
    <t>Rozsypal, Hanus</t>
  </si>
  <si>
    <t>RC111 -- .R697 2015eb</t>
  </si>
  <si>
    <t>616.9</t>
  </si>
  <si>
    <t>Communicable diseases.</t>
  </si>
  <si>
    <t>Moderní Literatury Arabského Východu</t>
  </si>
  <si>
    <t>Oliverius, Jaroslav</t>
  </si>
  <si>
    <t>ThDr. Josef Hronek Jako Katechetik a Pedagog</t>
  </si>
  <si>
    <t>Zimmermannová, Marie</t>
  </si>
  <si>
    <t>BX4651 -- .Z566 2015eb</t>
  </si>
  <si>
    <t>282.09219999999999</t>
  </si>
  <si>
    <t>Catholic Church--Clergy--Biography.</t>
  </si>
  <si>
    <t>Intimate Violence. a Czech Contribution on International Violence Against Women Survey</t>
  </si>
  <si>
    <t>Buriánek, Jiří;Pikálková, Simona</t>
  </si>
  <si>
    <t>HV6626 -- .B875 2013eb</t>
  </si>
  <si>
    <t>362.82920000000001</t>
  </si>
  <si>
    <t>Family violence--Czech Republic.</t>
  </si>
  <si>
    <t>Ukrajinská Pracovní Migrace V Česku : Migrace - Remitence - (rozvoj)</t>
  </si>
  <si>
    <t>Drbohlav, Dusan</t>
  </si>
  <si>
    <t>HG3947.3 -- .U373 2015eb</t>
  </si>
  <si>
    <t>332.04246094371001</t>
  </si>
  <si>
    <t>Czech Republic--Emigration and immigration--Economic aspects.</t>
  </si>
  <si>
    <t>Spravedlnost: Co Je Správné Dělat</t>
  </si>
  <si>
    <t>Sandel, Michael</t>
  </si>
  <si>
    <t>JC578 -- .S263 2015eb</t>
  </si>
  <si>
    <t>320.01100000000002</t>
  </si>
  <si>
    <t>Justice.</t>
  </si>
  <si>
    <t>How to Ask a Professor: Politeness in Czech Academic Culture</t>
  </si>
  <si>
    <t>Chejnová, Pavla</t>
  </si>
  <si>
    <t>LB1033 -- .C445 2015eb</t>
  </si>
  <si>
    <t>371.10230000000001</t>
  </si>
  <si>
    <t>Teacher-student relationships--Czech Republic.</t>
  </si>
  <si>
    <t>Základy Klinické Medicíny</t>
  </si>
  <si>
    <t>Sucharda, Petr;Zlatohlávek, Lukás</t>
  </si>
  <si>
    <t>RC48 -- .S834 2015eb</t>
  </si>
  <si>
    <t>Clinical medicine.</t>
  </si>
  <si>
    <t>Výziva Sportovců a Sportovní Výkon</t>
  </si>
  <si>
    <t>Vilikus, Zdeněk</t>
  </si>
  <si>
    <t>GV749.5 -- .V995 2015eb</t>
  </si>
  <si>
    <t>Endurance sports.</t>
  </si>
  <si>
    <t>Bezpečnostní Systém ČR: Problémy a Výzvy</t>
  </si>
  <si>
    <t>Balabán, Milos;Pernica, Bohuslav</t>
  </si>
  <si>
    <t>Political Science; Military Science</t>
  </si>
  <si>
    <t>JZ5588 -- .B497 2015eb</t>
  </si>
  <si>
    <t>355.03300000000002</t>
  </si>
  <si>
    <t>Security, International.</t>
  </si>
  <si>
    <t>Stručná Anatomie člověka</t>
  </si>
  <si>
    <t>Fiala, Pavel;Valenta, Jiří;Eberlová, Lada</t>
  </si>
  <si>
    <t>QM23.2 -- .F535 2015eb</t>
  </si>
  <si>
    <t>Human anatomy.</t>
  </si>
  <si>
    <t>Spolkový Zivot českých Novinářů V Letech 1945-1948</t>
  </si>
  <si>
    <t>Cebe, Jan</t>
  </si>
  <si>
    <t>HM1206 -- .C434 2015eb</t>
  </si>
  <si>
    <t>301.161</t>
  </si>
  <si>
    <t>Czech Republic--Politics and government.</t>
  </si>
  <si>
    <t>Dialogické Interpretace</t>
  </si>
  <si>
    <t>Hoffmannová, Jana;Hoffmann, Bohuslav</t>
  </si>
  <si>
    <t>PG5001 -- .H644 2015eb</t>
  </si>
  <si>
    <t>891.86090000000002</t>
  </si>
  <si>
    <t>Czech literature--History and criticism.</t>
  </si>
  <si>
    <t>Střední Evropa. Komparace Vývoje Středoevropských Států</t>
  </si>
  <si>
    <t>Kučerová, Irah</t>
  </si>
  <si>
    <t>Social Science; History</t>
  </si>
  <si>
    <t>HN373 -- .K874 2015eb</t>
  </si>
  <si>
    <t>Europe, Central--Social conditions.</t>
  </si>
  <si>
    <t>Evropská Unie a Středomoří. Role Spanělska a Francie</t>
  </si>
  <si>
    <t>Bocianová, Kateřina</t>
  </si>
  <si>
    <t>DP84 -- .B635 2015eb</t>
  </si>
  <si>
    <t>327.45999999999998</t>
  </si>
  <si>
    <t>Spain--Foreign relations.</t>
  </si>
  <si>
    <t>T. G. Masaryk a Jeho C. K. Protivníci : Československá Zahraniční Akce Zenevského Období V Zápase S Rakousko-Uherskou Diplomacií, Zpravodajskými Sluzbami a Propagandou (1915-1916)</t>
  </si>
  <si>
    <t>Kubů, Eduard;Sousa, Jiří</t>
  </si>
  <si>
    <t>DB217.M3 -- .K83 2015eb</t>
  </si>
  <si>
    <t>943.70320919999995</t>
  </si>
  <si>
    <t>Czech Republic. éCeska narodni rada.</t>
  </si>
  <si>
    <t>Podmaněná Planeta</t>
  </si>
  <si>
    <t>2016-03-04</t>
  </si>
  <si>
    <t>Moldan, Bedřich</t>
  </si>
  <si>
    <t>Engineering; Engineering: Environmental; Environmental Studies</t>
  </si>
  <si>
    <t>TD170 -- .M653 2015eb</t>
  </si>
  <si>
    <t>Environmental protection.</t>
  </si>
  <si>
    <t>Urologie Pro Mediky</t>
  </si>
  <si>
    <t>Hanus, Tomás;Macek, Petr</t>
  </si>
  <si>
    <t>RC871 -- .H368 2015eb</t>
  </si>
  <si>
    <t>616.6</t>
  </si>
  <si>
    <t>Urology.</t>
  </si>
  <si>
    <t>Školní vzdělávání ve Finsku</t>
  </si>
  <si>
    <t>2016-01-01</t>
  </si>
  <si>
    <t>Průcha, Jan</t>
  </si>
  <si>
    <t>LA1011 -- .P783 2015eb</t>
  </si>
  <si>
    <t>370.94709999999998</t>
  </si>
  <si>
    <t>Education--Finland.</t>
  </si>
  <si>
    <t>Elements of Time Series Econometrics: an Applied Approach</t>
  </si>
  <si>
    <t>Kočenda, Evzen;Černý, Alexandr</t>
  </si>
  <si>
    <t>Mathematics; Social Science</t>
  </si>
  <si>
    <t>HA30.3 -- .K674 2015eb</t>
  </si>
  <si>
    <t>519.54999999999995</t>
  </si>
  <si>
    <t>Time-series analysis--Mathematical models.</t>
  </si>
  <si>
    <t>Hygiena a epidemiologie pro bakaláře</t>
  </si>
  <si>
    <t>Tuček, Milan;Slámová, Alena a kol.</t>
  </si>
  <si>
    <t>Health; Medicine; Social Science</t>
  </si>
  <si>
    <t>RA651 -- .T845 2012eb</t>
  </si>
  <si>
    <t>614.4</t>
  </si>
  <si>
    <t>Epidemiology--Study and teaching (Higher)</t>
  </si>
  <si>
    <t>La formazione delle parole in diacronia. : Studi di morfologia derivativa dell'italiano tra il Cinquecento e l'Ottocento</t>
  </si>
  <si>
    <t>2016-06-30</t>
  </si>
  <si>
    <t>Štichauer, Pavel</t>
  </si>
  <si>
    <t>P241 -- .S753 2015eb</t>
  </si>
  <si>
    <t>Grammar, Comparative and general--Morphology.</t>
  </si>
  <si>
    <t>Italian</t>
  </si>
  <si>
    <t>Vzdělávací oblast Člověk a zdraví v současné škole</t>
  </si>
  <si>
    <t>Fialová, Ludmila;Flemr, Libor;Marádová, Eva</t>
  </si>
  <si>
    <t>LB1588.D48 -- .V533 2015eb</t>
  </si>
  <si>
    <t>371.71609172400002</t>
  </si>
  <si>
    <t>Health education (Elementary)--Czech Republic.</t>
  </si>
  <si>
    <t>Magie slova a textu : Moskevská etnolingvistická škola</t>
  </si>
  <si>
    <t>Tolstoj, Nikita Iljič;Bauerová, Jana</t>
  </si>
  <si>
    <t>P35.5.S554 -- .T657 2016eb</t>
  </si>
  <si>
    <t>306.44089000000002</t>
  </si>
  <si>
    <t>Anthropological linguistics--Slavic countries.</t>
  </si>
  <si>
    <t>Vývoj portugalského jazyka</t>
  </si>
  <si>
    <t>Hricsina, Jan</t>
  </si>
  <si>
    <t>PC5045 -- .H753 2016eb</t>
  </si>
  <si>
    <t>469.09</t>
  </si>
  <si>
    <t>Portuguese language--History.</t>
  </si>
  <si>
    <t>Franz Kafka and His Prague Contexts</t>
  </si>
  <si>
    <t>2016-07-08</t>
  </si>
  <si>
    <t>Nekula, Marek</t>
  </si>
  <si>
    <t>PT2621.A26</t>
  </si>
  <si>
    <t>833.912</t>
  </si>
  <si>
    <t>German literature.</t>
  </si>
  <si>
    <t>Notace znakových jazyků</t>
  </si>
  <si>
    <t>Okrouhlíková, Lenka</t>
  </si>
  <si>
    <t>HV2474 -- .O376 2016eb</t>
  </si>
  <si>
    <t>Sign language.</t>
  </si>
  <si>
    <t>Základy dětského Lékařství</t>
  </si>
  <si>
    <t>Stozický, Frantisek;Sýkora, Josef</t>
  </si>
  <si>
    <t>RJ45 -- .S769 2016eb</t>
  </si>
  <si>
    <t>618.91999999999996</t>
  </si>
  <si>
    <t>Pediatrics.</t>
  </si>
  <si>
    <t>Midway upon the Journey of Our Life</t>
  </si>
  <si>
    <t>2016-02-01</t>
  </si>
  <si>
    <t>Jedlička, Josef;Zucker, Alex</t>
  </si>
  <si>
    <t>PG5039.21.U6 -- .J435 2016eb</t>
  </si>
  <si>
    <t>Czechoslovakia--Fiction.</t>
  </si>
  <si>
    <t>Žurnalistika a společnost</t>
  </si>
  <si>
    <t>McQuail, Denis</t>
  </si>
  <si>
    <t>Social Science; Journalism</t>
  </si>
  <si>
    <t>PN4749 -- .M378 2016eb</t>
  </si>
  <si>
    <t>302.23</t>
  </si>
  <si>
    <t>Journalism--Social aspects.</t>
  </si>
  <si>
    <t>Língua Portuguesa na Europa Central: estudos e perspetivas</t>
  </si>
  <si>
    <t>2016-04-01</t>
  </si>
  <si>
    <t>de Sousa Coelho Ramos, Joaquim José;Grauová, Šárka;Jindrová, Jaroslava</t>
  </si>
  <si>
    <t>PQ9135 -- .L564 2016eb</t>
  </si>
  <si>
    <t>869.08</t>
  </si>
  <si>
    <t>Portuguese literature.</t>
  </si>
  <si>
    <t>A Horror and a Beauty: The World of Peter Ackroyd's London Novels</t>
  </si>
  <si>
    <t>2016-08-05</t>
  </si>
  <si>
    <t>Chalupský, Petr</t>
  </si>
  <si>
    <t>PR468.L65.C435 2016eb</t>
  </si>
  <si>
    <t>820.93242099999998</t>
  </si>
  <si>
    <t>London (England)--In literature.</t>
  </si>
  <si>
    <t>Abused, Battered, or Stalked: Violence in Intimate Partner Relations Gendered</t>
  </si>
  <si>
    <t>Buriánek, Jiří;Pikálková, Simona;Podaná, Zuzana</t>
  </si>
  <si>
    <t>HV6626 -- .B875 2015eb</t>
  </si>
  <si>
    <t>Abused women.</t>
  </si>
  <si>
    <t>Německo Bez Jádra? SRN Na Cestě K Odklonu Od Jaderné Energie</t>
  </si>
  <si>
    <t>2016-07-11</t>
  </si>
  <si>
    <t>Nigrin, Tomás;Landa, Martín;Svobodová, Tereza</t>
  </si>
  <si>
    <t>HD9698.G42 -- .N547 2015eb</t>
  </si>
  <si>
    <t>338.47621480943002</t>
  </si>
  <si>
    <t>Nuclear energy--Government policy--Germany.</t>
  </si>
  <si>
    <t>Molekulární genetika pro bioanalytiky</t>
  </si>
  <si>
    <t>Beránek, Martin</t>
  </si>
  <si>
    <t>QH442 -- .B473 2016eb</t>
  </si>
  <si>
    <t>574.87328000000002</t>
  </si>
  <si>
    <t>Molecular genetics.</t>
  </si>
  <si>
    <t>Klíč k novověké paleografii</t>
  </si>
  <si>
    <t>Ebelová, Ivana</t>
  </si>
  <si>
    <t>Z115.G4 -- .E245 2015eb</t>
  </si>
  <si>
    <t>417.70943</t>
  </si>
  <si>
    <t>Paleography, German.</t>
  </si>
  <si>
    <t>Palimpsesty, heterotopie a krajiny : Historie v anglickém románu posledních desetiletí</t>
  </si>
  <si>
    <t>Nagy, Ladislav</t>
  </si>
  <si>
    <t>PN94 -- .N349 2015eb</t>
  </si>
  <si>
    <t>801.95</t>
  </si>
  <si>
    <t>Criticism--20th century.</t>
  </si>
  <si>
    <t>Ekonomie, ekologie, eudaimonia : Lidské hodnoty a problémy rozvoje civilizace</t>
  </si>
  <si>
    <t>Mlčoch, Lubomír;Kameníček, Jiří</t>
  </si>
  <si>
    <t>HD75 -- .M56 2015eb</t>
  </si>
  <si>
    <t>303.44</t>
  </si>
  <si>
    <t>Economic development--Social aspects.</t>
  </si>
  <si>
    <t>Zvuková báze řečové komunikace : Fonetický a fonologický popis řeči</t>
  </si>
  <si>
    <t>Skarnitzl, Radek;Šturm, Pavel;Volín, Jan</t>
  </si>
  <si>
    <t>P221 -- .S537 2016eb</t>
  </si>
  <si>
    <t>Phonetics.</t>
  </si>
  <si>
    <t>Historici, historiografie a dějepis</t>
  </si>
  <si>
    <t>Čornej, Petr</t>
  </si>
  <si>
    <t>DB2186 -- .C676 2016eb</t>
  </si>
  <si>
    <t>943.70299999999997</t>
  </si>
  <si>
    <t>Czech Republic--History--20th century.</t>
  </si>
  <si>
    <t>Analýza restitučních procesů v České republice : Restituce a ostatní procesy transformující vlastnická práva</t>
  </si>
  <si>
    <t>Zeman, Karel</t>
  </si>
  <si>
    <t>HC270.283 -- .Z463 2015eb</t>
  </si>
  <si>
    <t>330.94371050000001</t>
  </si>
  <si>
    <t>Czech Republic--Economic conditions.</t>
  </si>
  <si>
    <t>Latinská syntax pro posluchače teologie</t>
  </si>
  <si>
    <t>Šimandl, Josef</t>
  </si>
  <si>
    <t>PA2285 -- .S563 2016eb</t>
  </si>
  <si>
    <t>Latin language--Syntax.</t>
  </si>
  <si>
    <t>Vytváření nepřítele. : Udávání a zastrašování ve stalinském Rusku</t>
  </si>
  <si>
    <t>Goldman, Wendy Z.</t>
  </si>
  <si>
    <t>D764 -- .G653 2014eb</t>
  </si>
  <si>
    <t>940.53470000000004</t>
  </si>
  <si>
    <t>World War--1939-1945--Soviet Union.</t>
  </si>
  <si>
    <t>Slovenščina ni težka. Slovinština není těžká</t>
  </si>
  <si>
    <t>Jahič Honzak, Jasna</t>
  </si>
  <si>
    <t>PG1827.5.E5.J345 2014eb</t>
  </si>
  <si>
    <t>491.84824209999999</t>
  </si>
  <si>
    <t>Slovenian language--Textbooks for foreign speakers--English.</t>
  </si>
  <si>
    <t>Židovské tradice a zvyky</t>
  </si>
  <si>
    <t>Nosek, Bedřich;Damohorská, Pavla</t>
  </si>
  <si>
    <t>BM700.N674 2016eb</t>
  </si>
  <si>
    <t>296.39999999999998</t>
  </si>
  <si>
    <t>Judaism--Customs and practices.</t>
  </si>
  <si>
    <t>Alma mater Pragensis : Studie k počátkům Univerzity Karlovy</t>
  </si>
  <si>
    <t>2016-05-01</t>
  </si>
  <si>
    <t>Šmahel, František</t>
  </si>
  <si>
    <t>Education; Religion</t>
  </si>
  <si>
    <t>BV970.W8.S534 2016eb</t>
  </si>
  <si>
    <t>371.8909549</t>
  </si>
  <si>
    <t>Students--Societies, etc.</t>
  </si>
  <si>
    <t>Most do budoucnosti : Laboratoř socialistické modernity na severu Čech</t>
  </si>
  <si>
    <t>Spurný, Matěj</t>
  </si>
  <si>
    <t>GN395.S687 2016eb</t>
  </si>
  <si>
    <t>307.76</t>
  </si>
  <si>
    <t>Urban anthropology.</t>
  </si>
  <si>
    <t>Osvojování jazyka dítětem</t>
  </si>
  <si>
    <t>Saicová Římalová, Lucie</t>
  </si>
  <si>
    <t>P118.R563 2016eb</t>
  </si>
  <si>
    <t>401.93</t>
  </si>
  <si>
    <t>Language acquisition.</t>
  </si>
  <si>
    <t>Tuhami : Portrét Maročana</t>
  </si>
  <si>
    <t>Crapanzano, Vincent</t>
  </si>
  <si>
    <t>HD8782.C737 2016eb</t>
  </si>
  <si>
    <t>331.09640000000002</t>
  </si>
  <si>
    <t>Working class--Morocco--20th century.</t>
  </si>
  <si>
    <t>Energetická Bezpečnost České Republiky</t>
  </si>
  <si>
    <t>2016-08-16</t>
  </si>
  <si>
    <t>Hrubý, Zdeněk;Lukásek, Libor</t>
  </si>
  <si>
    <t>Engineering; Engineering: Mechanical; Economics; Environmental Studies</t>
  </si>
  <si>
    <t>TJ163.2.H783 2015eb</t>
  </si>
  <si>
    <t>333.79</t>
  </si>
  <si>
    <t>Power resources.</t>
  </si>
  <si>
    <t>Sport a pohyb v životě seniorů</t>
  </si>
  <si>
    <t>Slepička, Pavel;Mudrák, Jiří;Slepičková, Irena</t>
  </si>
  <si>
    <t>GV705.S547 2015eb</t>
  </si>
  <si>
    <t>Sports.</t>
  </si>
  <si>
    <t>Excel pro přírodovědce</t>
  </si>
  <si>
    <t>2016-08-13</t>
  </si>
  <si>
    <t>Makovička, Jiří</t>
  </si>
  <si>
    <t>Computer Science/IT; Business/Management</t>
  </si>
  <si>
    <t>HF5548.4.M523.M356 2016eb</t>
  </si>
  <si>
    <t>5.3689999999999998</t>
  </si>
  <si>
    <t>Microsoft Excel (Computer file)</t>
  </si>
  <si>
    <t>Farmakognozie</t>
  </si>
  <si>
    <t>Spilková, Jiřina;Martin, Jan;Siatka, Tomáš</t>
  </si>
  <si>
    <t>RS160.S655 2016eb</t>
  </si>
  <si>
    <t>615.32100000000003</t>
  </si>
  <si>
    <t>Pharmacognosy.</t>
  </si>
  <si>
    <t>Jazyk v kontextu kultury</t>
  </si>
  <si>
    <t>Bartmiński, Jerzy</t>
  </si>
  <si>
    <t>P35.B378 2016eb</t>
  </si>
  <si>
    <t>Anthropological linguistics.</t>
  </si>
  <si>
    <t>Připravujeme se k certifikované zkoušce z češtiny, úroveň B2</t>
  </si>
  <si>
    <t>2017-04-28</t>
  </si>
  <si>
    <t>Kotková, Radomila;Nováková, Jana;Vodičková, Kateřina</t>
  </si>
  <si>
    <t>PG4095.K685 2016eb</t>
  </si>
  <si>
    <t>Czech language--Textbooks.</t>
  </si>
  <si>
    <t>Sociální mozek</t>
  </si>
  <si>
    <t>2016-12-01</t>
  </si>
  <si>
    <t>Koukolík, František</t>
  </si>
  <si>
    <t>Science; Science: Zoology; Science: Anatomy/Physiology</t>
  </si>
  <si>
    <t>QL933.K685 2016</t>
  </si>
  <si>
    <t>612.82000000000005</t>
  </si>
  <si>
    <t>Brain--Evolution.</t>
  </si>
  <si>
    <t>Media life : Život v médiích</t>
  </si>
  <si>
    <t>Deuze, Mark</t>
  </si>
  <si>
    <t>P91.D489 2015</t>
  </si>
  <si>
    <t>Mass media.</t>
  </si>
  <si>
    <t>Ir Más Allá... : Fuentes Bohemicales para el Estudio Comparativo de la Expansión Colonial Espaňola en la Temprana Edad Moderna</t>
  </si>
  <si>
    <t>2016-06-01</t>
  </si>
  <si>
    <t>Binková, Simona;Křízová, Markéta</t>
  </si>
  <si>
    <t>BV2290.B565 2016</t>
  </si>
  <si>
    <t>266.2</t>
  </si>
  <si>
    <t>Autokrat a Jeho Doba : Rusko a Revoluce V Letech 1830-1831</t>
  </si>
  <si>
    <t>Svoboda, Karel</t>
  </si>
  <si>
    <t>DK210.S963 2016</t>
  </si>
  <si>
    <t>947.07309199999997</t>
  </si>
  <si>
    <t>Aristocracy (Social class)--Russia--History.</t>
  </si>
  <si>
    <t>Atmosféra a Klima. Aktuální Otázky Znečistění Ovzdusí</t>
  </si>
  <si>
    <t>Branis, Martin</t>
  </si>
  <si>
    <t>Engineering; Engineering: Environmental</t>
  </si>
  <si>
    <t>TD883.A866 2009</t>
  </si>
  <si>
    <t>628.53</t>
  </si>
  <si>
    <t>Air--Pollution.</t>
  </si>
  <si>
    <t>The Philosophy of Living Nature</t>
  </si>
  <si>
    <t>2016-07-12</t>
  </si>
  <si>
    <t>Kratochvíl, Zdeněk;Paris, Vaclav</t>
  </si>
  <si>
    <t>BD581.K7313 2016</t>
  </si>
  <si>
    <t>Philosophy of nature.</t>
  </si>
  <si>
    <t>Vera mundi lumina : Výbor dominikánských barokních kázání</t>
  </si>
  <si>
    <t>Maroszová, Jana (ed.)</t>
  </si>
  <si>
    <t>BV4254.G3.V473 2016</t>
  </si>
  <si>
    <t>252.00943090429999</t>
  </si>
  <si>
    <t>Sermons, German.</t>
  </si>
  <si>
    <t>Matematika Na Německé Univerzitě V Praze V Letech 1882-1945</t>
  </si>
  <si>
    <t>2016-07-01</t>
  </si>
  <si>
    <t>Bečvářová, Martina</t>
  </si>
  <si>
    <t>QA14.C942.B48 2016</t>
  </si>
  <si>
    <t>510.71143712000003</t>
  </si>
  <si>
    <t>Mathematics--Study and teaching (Higher)--Czech Republic--Prague--History--19th century.</t>
  </si>
  <si>
    <t>Nová infinitní matematika: II. Nová teorie množin a polomnožin</t>
  </si>
  <si>
    <t>QA248.V67 2015</t>
  </si>
  <si>
    <t>511.322</t>
  </si>
  <si>
    <t>Set theory.</t>
  </si>
  <si>
    <t>Nová infinitní matematika: III. Reálná čísla a jejich diskretizace</t>
  </si>
  <si>
    <t>QA255.V67 2015</t>
  </si>
  <si>
    <t>512.80999999999995</t>
  </si>
  <si>
    <t>Numbers, Real.</t>
  </si>
  <si>
    <t>Nová infinitní matematika: IV. Staronový diferenciální počet</t>
  </si>
  <si>
    <t>QA304.V67 2015</t>
  </si>
  <si>
    <t>515.33000000000004</t>
  </si>
  <si>
    <t>Differential calculus.</t>
  </si>
  <si>
    <t>Nová infinitní matematika: I. Velká iluze matematiky 20. století</t>
  </si>
  <si>
    <t>QA612.V67 2015</t>
  </si>
  <si>
    <t>515.79999999999995</t>
  </si>
  <si>
    <t>Cantor sets.</t>
  </si>
  <si>
    <t>Vo vobecný češtině a jiné příběhy</t>
  </si>
  <si>
    <t>PG4111.H735 2015</t>
  </si>
  <si>
    <t>Co je bulvár, co je bulvarizace</t>
  </si>
  <si>
    <t>Osvaldová, Barbora;Kopáč, Radim (eds.)</t>
  </si>
  <si>
    <t>Journalism; Social Science</t>
  </si>
  <si>
    <t>PN4784.S4.C654 2016</t>
  </si>
  <si>
    <t>Journalism--Czech Republic--21st century.</t>
  </si>
  <si>
    <t>Encyklopedie menších křesťanských církví v České republice</t>
  </si>
  <si>
    <t>Nešpor, Zdeněk R.;Vojtíšek, Zdeněk</t>
  </si>
  <si>
    <t>BR157.N477 2016</t>
  </si>
  <si>
    <t>239.9</t>
  </si>
  <si>
    <t>Christian sects.</t>
  </si>
  <si>
    <t>Fenomén: Polská literární reportáž</t>
  </si>
  <si>
    <t>Benešová, Michala;Rusin Dybalska, Renata</t>
  </si>
  <si>
    <t>PG7015.F466 2016</t>
  </si>
  <si>
    <t>891.85090000000002</t>
  </si>
  <si>
    <t>Polish literature--History and criticism.</t>
  </si>
  <si>
    <t>Mozaiky překladu. Translation Mosaics : K devadesátému výročí narození Jiřího Levého</t>
  </si>
  <si>
    <t>Jettmarová, Zuzana</t>
  </si>
  <si>
    <t>P306.J488 2016</t>
  </si>
  <si>
    <t>Translating and interpreting.</t>
  </si>
  <si>
    <t>Katolický pohled na náboženskou pluralitu</t>
  </si>
  <si>
    <t>Červenková, Denisa</t>
  </si>
  <si>
    <t>BX178.C478 2016</t>
  </si>
  <si>
    <t>271.81630956740003</t>
  </si>
  <si>
    <t>Catholic Church--Relations.</t>
  </si>
  <si>
    <t>Tinnitus</t>
  </si>
  <si>
    <t>Mihule, Jaroslav</t>
  </si>
  <si>
    <t>RF293.8.M548 2016</t>
  </si>
  <si>
    <t>617.79999999999995</t>
  </si>
  <si>
    <t>Tinnitus.</t>
  </si>
  <si>
    <t>Rozhodování</t>
  </si>
  <si>
    <t>PS121.K685 2016</t>
  </si>
  <si>
    <t>810.90030000000002</t>
  </si>
  <si>
    <t>Authors, American.</t>
  </si>
  <si>
    <t>Když se řekne komunitní práce</t>
  </si>
  <si>
    <t>Šťastná, Jaroslava</t>
  </si>
  <si>
    <t>HM131.S737 2016</t>
  </si>
  <si>
    <t>Community Works.</t>
  </si>
  <si>
    <t>Úvod do gerontologie</t>
  </si>
  <si>
    <t>Čeledová, Libuše;Kalvach, Zdeněk</t>
  </si>
  <si>
    <t>HQ1061.C454 2016</t>
  </si>
  <si>
    <t>305.26</t>
  </si>
  <si>
    <t>Gerontology.</t>
  </si>
  <si>
    <t>Význam soutěžní úspěšnosti ve výkonnostním vývoji tenistů</t>
  </si>
  <si>
    <t>2016-09-01</t>
  </si>
  <si>
    <t>2016-12-20</t>
  </si>
  <si>
    <t>Pecha, Jan;Dovalil, Josef;Suchý, Jiří</t>
  </si>
  <si>
    <t>GV995.P43 2016</t>
  </si>
  <si>
    <t>Tennis players.</t>
  </si>
  <si>
    <t>Kvantová mechanika a elektrodynamika</t>
  </si>
  <si>
    <t>Zamastil, Jaroslav;Benda, Jakub</t>
  </si>
  <si>
    <t>Science: Physics; Science</t>
  </si>
  <si>
    <t>QC174.12.Z36 2016</t>
  </si>
  <si>
    <t>Quantum theory.</t>
  </si>
  <si>
    <t>Physical and personality traits of Charles IV, Holy Roman Emperor and King of Bohemia : A medical-anthropological investigation</t>
  </si>
  <si>
    <t>Vlček, Emanuel;Bartoníček, Jan;Royt, Jan</t>
  </si>
  <si>
    <t>DD165.V53 2016</t>
  </si>
  <si>
    <t>Základy teorie krizového managementu</t>
  </si>
  <si>
    <t>Antušák, Emil;Vilášek, Josef</t>
  </si>
  <si>
    <t>HD49.A58 2016</t>
  </si>
  <si>
    <t>Crisis management.</t>
  </si>
  <si>
    <t>Proyectos políticos y culturales en las realidades caribeňas de los siglos XIX y XX : Ibero-Americana Pragensia Supplementum</t>
  </si>
  <si>
    <t>F2175.O63 2016</t>
  </si>
  <si>
    <t>God's Rainbow</t>
  </si>
  <si>
    <t>Modern Czech Classics</t>
  </si>
  <si>
    <t>Durych, Jaroslav;Short, David</t>
  </si>
  <si>
    <t>PG5038.D8.G63 2016</t>
  </si>
  <si>
    <t>Meditations--Fiction.</t>
  </si>
  <si>
    <t>Závažná těla : O materialitě a diskursivních mezích „pohlaví“</t>
  </si>
  <si>
    <t>2016-11-01</t>
  </si>
  <si>
    <t>Butlerová, Judith</t>
  </si>
  <si>
    <t>HQ21.B88 2016</t>
  </si>
  <si>
    <t>Sex.</t>
  </si>
  <si>
    <t>Státní orgány sociálněprávní ochrany dětí : Dobrá praxe z pohledu rodin a pracovníků</t>
  </si>
  <si>
    <t>Matoušek, Oldřich;Pazlarová, Hana</t>
  </si>
  <si>
    <t>HV713.M38 2016</t>
  </si>
  <si>
    <t>Child welfare.</t>
  </si>
  <si>
    <t>Fyziologické aspekty výkonu ve sportovním lezení</t>
  </si>
  <si>
    <t>Baláš, Jiří</t>
  </si>
  <si>
    <t>GV200.2.B35 2016</t>
  </si>
  <si>
    <t>Rock climbing--Physiological aspects.</t>
  </si>
  <si>
    <t>Šance na dosažení vysokoškolského vzdělání v populaci osob se zdravotním postižením</t>
  </si>
  <si>
    <t>Šámalová, Kateřina</t>
  </si>
  <si>
    <t>HV1568.S26 2016</t>
  </si>
  <si>
    <t>People with disabilties.</t>
  </si>
  <si>
    <t>Quantum Anthropology</t>
  </si>
  <si>
    <t>Trnka, Radek;Lorencová, Radmila</t>
  </si>
  <si>
    <t>GN25.T76 2016</t>
  </si>
  <si>
    <t>Anthropology.</t>
  </si>
  <si>
    <t>Základy náhodných procesů II</t>
  </si>
  <si>
    <t>2016-10-01</t>
  </si>
  <si>
    <t>Prášková, Zuzana</t>
  </si>
  <si>
    <t>QA274.P73 2016</t>
  </si>
  <si>
    <t>Stochastic processes.</t>
  </si>
  <si>
    <t>Fylogeneze Lidské Lokomoce</t>
  </si>
  <si>
    <t>Kračmar, Bronislav</t>
  </si>
  <si>
    <t>QP301.K73 2016</t>
  </si>
  <si>
    <t>Locomotion.</t>
  </si>
  <si>
    <t>In the Shadow of Totalitarism: Sport and the Olympic Movement in the Visegrád Countries 1945-1989</t>
  </si>
  <si>
    <t>2017-01-03</t>
  </si>
  <si>
    <t>Social Science; Sport &amp;amp; Recreation</t>
  </si>
  <si>
    <t>GV706.35.I584 2014</t>
  </si>
  <si>
    <t>306.483</t>
  </si>
  <si>
    <t>Sports--Political aspects--Europe, Eastern.</t>
  </si>
  <si>
    <t>Alternativní medicína v České republice</t>
  </si>
  <si>
    <t>Křížová, Eva</t>
  </si>
  <si>
    <t>R733.K759 2016</t>
  </si>
  <si>
    <t>615.5</t>
  </si>
  <si>
    <t>Alternative medicine--Czech Republic.</t>
  </si>
  <si>
    <t>Biostatistika pro lékaře : Principy základních metod a jejich interpretace s využitím statistického systému R</t>
  </si>
  <si>
    <t>QH323.5.P763 2015</t>
  </si>
  <si>
    <t>570.15195000000006</t>
  </si>
  <si>
    <t>Biometry.</t>
  </si>
  <si>
    <t>Románské Jazyky a čestina Ve Světle Paralelních Korpusů</t>
  </si>
  <si>
    <t>Čermák, Petr;Nádvorníková, Olga</t>
  </si>
  <si>
    <t>P134.C476 2015</t>
  </si>
  <si>
    <t>Hospodárský Vzestup Ceských Zemí Od Poloviny 18. Století Do Konce Monarchie : Economic Growth of the Czech Lands from Mid 18th Century till the End of Monarchy</t>
  </si>
  <si>
    <t>Jindra, Zdenek;Jakubec, Ivan</t>
  </si>
  <si>
    <t>HC270.26.H67 2015</t>
  </si>
  <si>
    <t>Kvantová mechanika I.</t>
  </si>
  <si>
    <t>Klíma, Jan;Velický, Bedřich</t>
  </si>
  <si>
    <t>QC174.12.K56 2015</t>
  </si>
  <si>
    <t>Překlad a tlumočení jako most mezi kulturami</t>
  </si>
  <si>
    <t>Vavroušová, Petra (ed.)</t>
  </si>
  <si>
    <t>P306.P745 2015</t>
  </si>
  <si>
    <t>Translating and interpreting--Latin America.</t>
  </si>
  <si>
    <t>Analýza diskurzu a mediální text</t>
  </si>
  <si>
    <t>Schneiderová, Soňa</t>
  </si>
  <si>
    <t>P302.S36 2015</t>
  </si>
  <si>
    <t>401.41</t>
  </si>
  <si>
    <t>Discourse analysis.</t>
  </si>
  <si>
    <t>Historia de la lengua espaňola : Introducción a la Etimología</t>
  </si>
  <si>
    <t>Zavadil, Bohumil</t>
  </si>
  <si>
    <t>PC4434.Z383 2015</t>
  </si>
  <si>
    <t>460.14100000000002</t>
  </si>
  <si>
    <t>Spanish language--Discourse analysis.</t>
  </si>
  <si>
    <t>Filozofové dělají revoluci : Filozofická fakulta Univerzity Karlovy během komunistického experimentu (1948–1968–1989)</t>
  </si>
  <si>
    <t>Petráň, Josef</t>
  </si>
  <si>
    <t>LF1463.P487 2015</t>
  </si>
  <si>
    <t>378.43711999999999</t>
  </si>
  <si>
    <t>Education, Higher--Political aspects--Czechoslovakia--History--20th century.</t>
  </si>
  <si>
    <t>V perspektivě desetiletí</t>
  </si>
  <si>
    <t>Malevič, Oleg</t>
  </si>
  <si>
    <t>PG5023.V647 2015</t>
  </si>
  <si>
    <t>891.86090049999996</t>
  </si>
  <si>
    <t>Czech literature--20th century.</t>
  </si>
  <si>
    <t>Digesta seu Pandectae / Digesta neboli Pandekty : Fragmenta selecta / Vybrané části</t>
  </si>
  <si>
    <t>Blaho, Peter;Skřejpek, Michal;Vaňková, Jarmila</t>
  </si>
  <si>
    <t>KJA147.D544 2015</t>
  </si>
  <si>
    <t>340.54</t>
  </si>
  <si>
    <t>Roman law.</t>
  </si>
  <si>
    <t>Zákon o ČTK: transformace na půli cesty</t>
  </si>
  <si>
    <t>Trunečková, Ludmila</t>
  </si>
  <si>
    <t>PN4714.A1.T786 2015</t>
  </si>
  <si>
    <t>70.435000000000002</t>
  </si>
  <si>
    <t>News agencies--Czech Republic--History--20th century.</t>
  </si>
  <si>
    <t>Geostatistika a prostorová interpolace</t>
  </si>
  <si>
    <t>Ježek, Josef</t>
  </si>
  <si>
    <t>Science; Science: Geology</t>
  </si>
  <si>
    <t>QE33.2.S82.J44 2015</t>
  </si>
  <si>
    <t>550.72</t>
  </si>
  <si>
    <t>Geology--Statistical methods.</t>
  </si>
  <si>
    <t>Marketingová komunikace a public relations : Výklad pojmů a teorie oboru</t>
  </si>
  <si>
    <t>Halada, Jan</t>
  </si>
  <si>
    <t>HF5415.123.M375 2015</t>
  </si>
  <si>
    <t>658.80200000000002</t>
  </si>
  <si>
    <t>Communication in marketing.</t>
  </si>
  <si>
    <t>Ťing-Ťie: Poznámky k písním ze světa lidí</t>
  </si>
  <si>
    <t>Dadejík, Ondřej;Lomová, Olga;Zuska, Vlastimil (eds.)</t>
  </si>
  <si>
    <t>PN45.D334 2015</t>
  </si>
  <si>
    <t>Aesthetics in literature.</t>
  </si>
  <si>
    <t>Irsko a Krize : Politika a Ekonomika Irské Republiky V Letech 2008-2014 a Jejich Evropské Souvislosti</t>
  </si>
  <si>
    <t>Slosarčík, Ivo</t>
  </si>
  <si>
    <t>DA966.S567 2016</t>
  </si>
  <si>
    <t>941.5</t>
  </si>
  <si>
    <t>Náboženství společnosti</t>
  </si>
  <si>
    <t>Luhmann, Niklas</t>
  </si>
  <si>
    <t>Social Science; Religion</t>
  </si>
  <si>
    <t>BL60.L846 2015</t>
  </si>
  <si>
    <t>306.60000000000002</t>
  </si>
  <si>
    <t>Religion and sociology.</t>
  </si>
  <si>
    <t>Úvod do obecné fonetiky</t>
  </si>
  <si>
    <t>Ashby, Michael;Maidment, John</t>
  </si>
  <si>
    <t>P221.A843 2015</t>
  </si>
  <si>
    <t>Alternativní Potravinové Sítě: Česká Cesta</t>
  </si>
  <si>
    <t>2017-02-14</t>
  </si>
  <si>
    <t>Spilková, Jana</t>
  </si>
  <si>
    <t>HB233.A3 .S655 2016</t>
  </si>
  <si>
    <t>338.1</t>
  </si>
  <si>
    <t>Farm produce.</t>
  </si>
  <si>
    <t>Minerva 1890–1936 : Kronika prvního dívčího gymnázia v habsburské monarchii</t>
  </si>
  <si>
    <t>Sekyrková, Milada</t>
  </si>
  <si>
    <t>Poder y conflictividad social en América Latina</t>
  </si>
  <si>
    <t>2017-02-16</t>
  </si>
  <si>
    <t>Cienfuegos, Sigfrido Vázquez (ed.)</t>
  </si>
  <si>
    <t>F1410.P634 2016</t>
  </si>
  <si>
    <t>Facebooková (ne)závislost : Identita, interakce a uživatelská kariéra na Facebooku</t>
  </si>
  <si>
    <t>Pospíšilová, Marie</t>
  </si>
  <si>
    <t>HM743.F33.P677 2016</t>
  </si>
  <si>
    <t>302.30284999999998</t>
  </si>
  <si>
    <t>Facebook (Electronic resource)</t>
  </si>
  <si>
    <t>Východní křesťanské církve</t>
  </si>
  <si>
    <t>Szabo, Miloš</t>
  </si>
  <si>
    <t>BX106.2.S933 2016</t>
  </si>
  <si>
    <t>281.5</t>
  </si>
  <si>
    <t>Eastern churches.</t>
  </si>
  <si>
    <t>Averzivní demokracie</t>
  </si>
  <si>
    <t>Norval, Aletta J.</t>
  </si>
  <si>
    <t>JC423.N678 2016</t>
  </si>
  <si>
    <t>Democracy.</t>
  </si>
  <si>
    <t>Válečné dětství a mládí (1939–1945) v literatuře a publicistice</t>
  </si>
  <si>
    <t>Čeňková, Jana (ed.)</t>
  </si>
  <si>
    <t>PG5003.V354 2016</t>
  </si>
  <si>
    <t>Czech literature.</t>
  </si>
  <si>
    <t>Tuberkulóza</t>
  </si>
  <si>
    <t>Homolka, Jiří</t>
  </si>
  <si>
    <t>RC311.H666 2016</t>
  </si>
  <si>
    <t>616.995</t>
  </si>
  <si>
    <t>Tuberculosis.</t>
  </si>
  <si>
    <t>K hříchu i k modlitbě : Žena devatenáctého století</t>
  </si>
  <si>
    <t>Lenderová, Milena</t>
  </si>
  <si>
    <t>HQ1610.3.L463 2016</t>
  </si>
  <si>
    <t>305.30943000000002</t>
  </si>
  <si>
    <t>Women--Czech Republic--History--19th century.</t>
  </si>
  <si>
    <t>Psychologické aspekty vytrvalostního výkonu</t>
  </si>
  <si>
    <t>2017-04-29</t>
  </si>
  <si>
    <t>GV749.5.K683 2016eb</t>
  </si>
  <si>
    <t>Endurance sports--Psychological aspects.</t>
  </si>
  <si>
    <t>Obecná psychologie : Dílčí aspekty lidské psychiky a jejich orgánový základ</t>
  </si>
  <si>
    <t>BF121.V46 2016eb</t>
  </si>
  <si>
    <t>Psychology.</t>
  </si>
  <si>
    <t>Psychiatry and Pedopsychiatry</t>
  </si>
  <si>
    <t>2017-01-01</t>
  </si>
  <si>
    <t>Hosák, Ladislav;Hrdlička, Michal</t>
  </si>
  <si>
    <t>RC454.H67 2016eb</t>
  </si>
  <si>
    <t>616.89</t>
  </si>
  <si>
    <t>Podoby Antisemitismu V Čechách a Na Slovensku V 20. a 21. Století</t>
  </si>
  <si>
    <t>2017-02-01</t>
  </si>
  <si>
    <t>Vrzgulová, Monika;Kubátová, Hana</t>
  </si>
  <si>
    <t>DS145.V794 2016eb</t>
  </si>
  <si>
    <t>305.89240000000001</t>
  </si>
  <si>
    <t>Antisemitism--20th century.</t>
  </si>
  <si>
    <t>Zápolení o pravdu, naději a lidskou důstojnost : Česká katolická teologie 1850–1950 a výzvy přírodních věd</t>
  </si>
  <si>
    <t>Teologie</t>
  </si>
  <si>
    <t>Pospíšil, Ctirad V.</t>
  </si>
  <si>
    <t>BT75.2.P677 2017eb</t>
  </si>
  <si>
    <t>Theology, Doctrinal.</t>
  </si>
  <si>
    <t>Diagnostika a léčba Nejčastějsích Osteoporotických Zlomenin</t>
  </si>
  <si>
    <t>Báča, Václav;Dzupa, Valér;Krbec, Martin</t>
  </si>
  <si>
    <t>RC931.O73.B33 2016eb</t>
  </si>
  <si>
    <t>616.71600000000001</t>
  </si>
  <si>
    <t>Osteoporosis--Treatment.</t>
  </si>
  <si>
    <t>Crossing Between Tradition and Modernity : Essays in Commemoriation of Milena Dolezalová-Velingerová (1932-2012)</t>
  </si>
  <si>
    <t>Denton, Kirk A.</t>
  </si>
  <si>
    <t>PL2264.C767 2017eb</t>
  </si>
  <si>
    <t>895.10900000000004</t>
  </si>
  <si>
    <t>Chinese literature--History and criticism.</t>
  </si>
  <si>
    <t>Psychologické Eseje Z Konce Kariéry</t>
  </si>
  <si>
    <t>2004-08-01</t>
  </si>
  <si>
    <t>Matějček, Zdeněk</t>
  </si>
  <si>
    <t>BF173.M384 2016eb</t>
  </si>
  <si>
    <t>616.89170000000001</t>
  </si>
  <si>
    <t>Psychoanalysis.</t>
  </si>
  <si>
    <t>Evropská integrace z pohledu teorie veřejné volby</t>
  </si>
  <si>
    <t>2017-05-31</t>
  </si>
  <si>
    <t>HC241.2.L689 2017</t>
  </si>
  <si>
    <t>337.14</t>
  </si>
  <si>
    <t>Europe-Economic integration-History</t>
  </si>
  <si>
    <t>Signs from Silence : Ur of the first Sumerians</t>
  </si>
  <si>
    <t>2017-04-01</t>
  </si>
  <si>
    <t>Philosophy; Social Science</t>
  </si>
  <si>
    <t>BJ1499.S5.C437 2017</t>
  </si>
  <si>
    <t>302.2</t>
  </si>
  <si>
    <t>Silence.</t>
  </si>
  <si>
    <t>Návraty : Poválečná rekonstrukce židovských komunit v zemích středovýchodní, jihovýchodní a východní Evropy</t>
  </si>
  <si>
    <t>Králová, Kateřina;Kubátová, Hana (eds.)</t>
  </si>
  <si>
    <t>D804.3.N387 2016</t>
  </si>
  <si>
    <t>Holocaust survivors.</t>
  </si>
  <si>
    <t>Tři studie o trestním právu v českých zemích v 17. a v první polovině 18. století</t>
  </si>
  <si>
    <t>Malý, Karel</t>
  </si>
  <si>
    <t>KJP5779.5.M359 2016</t>
  </si>
  <si>
    <t>345.43710026320002</t>
  </si>
  <si>
    <t>Criminal law--Czech Republic.</t>
  </si>
  <si>
    <t>Perifrastické konstrukce v portugalštině</t>
  </si>
  <si>
    <t>2017-03-01</t>
  </si>
  <si>
    <t>Jindrová, Jaroslava</t>
  </si>
  <si>
    <t>PC5043.J563 2016</t>
  </si>
  <si>
    <t>Portuguese language.</t>
  </si>
  <si>
    <t>Ministerium verbi : Kázání Adolfa Kajpra o mši svaté, o posledních věcech člověka a o rozličných aspektech víry</t>
  </si>
  <si>
    <t>Kajpr, Adolf</t>
  </si>
  <si>
    <t>BX3745.C9.K357 2017</t>
  </si>
  <si>
    <t>271.53043709999997</t>
  </si>
  <si>
    <t>Jesuits-Czech Republic-History</t>
  </si>
  <si>
    <t>Domovský přístav Praha: Československá námořní plavba v letech 1948 až 1989</t>
  </si>
  <si>
    <t>Orální historie a soudobé dějiny</t>
  </si>
  <si>
    <t>Krátká, Lenka</t>
  </si>
  <si>
    <t>HE735.K738 2016</t>
  </si>
  <si>
    <t>387.5</t>
  </si>
  <si>
    <t>Merchant marine.</t>
  </si>
  <si>
    <t>Psychologie celoživotního vývoje</t>
  </si>
  <si>
    <t>Blatný, Marek (ed.)</t>
  </si>
  <si>
    <t>BF713.P793 2016</t>
  </si>
  <si>
    <t>Developmental psychology.</t>
  </si>
  <si>
    <t>Pavel z Tarsu a jeho svět</t>
  </si>
  <si>
    <t>Ryšková, Mireia</t>
  </si>
  <si>
    <t>BS2506.R975 2014</t>
  </si>
  <si>
    <t>225.92</t>
  </si>
  <si>
    <t>Apostles--Biography.</t>
  </si>
  <si>
    <t>Inferences with Ignorance: Logics of Questions</t>
  </si>
  <si>
    <t>2017-02-09</t>
  </si>
  <si>
    <t>Peliš, Michal</t>
  </si>
  <si>
    <t>BC199.Q4.P455 2016</t>
  </si>
  <si>
    <t>Question (Logic)</t>
  </si>
  <si>
    <t>Acquisition of morphological categories and vocabulary in early ontogenesis of Czech child</t>
  </si>
  <si>
    <t>P37.C445 2016</t>
  </si>
  <si>
    <t>401.9</t>
  </si>
  <si>
    <t>Psycholinguistics.</t>
  </si>
  <si>
    <t>Vztahy Československa a Maďarska v letech 1918–1939</t>
  </si>
  <si>
    <t>Pejša, Robert</t>
  </si>
  <si>
    <t>DB2199.P457 2017</t>
  </si>
  <si>
    <t>327.43700904100001</t>
  </si>
  <si>
    <t>Czechoslovakia-Foreign relations-1918-1938</t>
  </si>
  <si>
    <t>Filologické studie 2016 : Fonetika a fonologie v přípravném vzdělávání učitelů</t>
  </si>
  <si>
    <t>kolektiv autorů,</t>
  </si>
  <si>
    <t>P221.F664 2016</t>
  </si>
  <si>
    <t>Grammar, Comparative and general--Phonology.</t>
  </si>
  <si>
    <t>Netradiční způsoby aplikace anestetik : Možnosti jejich využití v urgentní medicíně a medicíně katastrof</t>
  </si>
  <si>
    <t>Hess, Ladislav;Málek, Jiří</t>
  </si>
  <si>
    <t>RD81.H477 2016</t>
  </si>
  <si>
    <t>617.96</t>
  </si>
  <si>
    <t>Anesthesia.</t>
  </si>
  <si>
    <t>Vzdělání a Dnesek</t>
  </si>
  <si>
    <t>Strouhal, Martin;Stech, Stanislav</t>
  </si>
  <si>
    <t>LB41.V934 2016</t>
  </si>
  <si>
    <t>Education.</t>
  </si>
  <si>
    <t>Náročné otcovství : Být otcem dítěte s postižením</t>
  </si>
  <si>
    <t>Kunhartová, Monika;Potměšil, Miloň;Potměšilová, Petra</t>
  </si>
  <si>
    <t>Social Science; Home Economics</t>
  </si>
  <si>
    <t>HQ759.913.K864 2017</t>
  </si>
  <si>
    <t>649.15099999999995</t>
  </si>
  <si>
    <t>Parents of children with disabilities.</t>
  </si>
  <si>
    <t>Theatre Theory Reader: Prague School Writings</t>
  </si>
  <si>
    <t>Drozd, David (ed.)</t>
  </si>
  <si>
    <t>PN2859.C9.T443 2016</t>
  </si>
  <si>
    <t>792.09437000000003</t>
  </si>
  <si>
    <t>Theater--Czechoslovakia--20th century.</t>
  </si>
  <si>
    <t>Anatomie Rostlin</t>
  </si>
  <si>
    <t>Votrubová, Olga</t>
  </si>
  <si>
    <t>Science; Science: Botany</t>
  </si>
  <si>
    <t>QK641.V687 2010</t>
  </si>
  <si>
    <t>581.4</t>
  </si>
  <si>
    <t>Plant anatomy.</t>
  </si>
  <si>
    <t>Uměleckohistorické Texty Z Pozůstalosti Frantiska Kovárny</t>
  </si>
  <si>
    <t>2017-07-15</t>
  </si>
  <si>
    <t>Koukal, Jiří;Flekačová, Martina</t>
  </si>
  <si>
    <t>BH221.C93.K683 2013</t>
  </si>
  <si>
    <t>198.9</t>
  </si>
  <si>
    <t>Aesthetics, Czech.</t>
  </si>
  <si>
    <t>Pražské Hudební Světy</t>
  </si>
  <si>
    <t>ML3499.C9.P737 2013</t>
  </si>
  <si>
    <t>781.64094373</t>
  </si>
  <si>
    <t>Music--Social aspects--Czech Republic--Prague.</t>
  </si>
  <si>
    <t>Balkán ve 20. století</t>
  </si>
  <si>
    <t>Tejchman, Miroslav</t>
  </si>
  <si>
    <t>DR36.T453 2016</t>
  </si>
  <si>
    <t>949.6</t>
  </si>
  <si>
    <t>Balkan Peninsula--History.</t>
  </si>
  <si>
    <t>Smrt a zmrtvýchvstání národa : Sen o Slavíně v české literatuře a kultuře</t>
  </si>
  <si>
    <t>PG5006.N458 2017</t>
  </si>
  <si>
    <t>Czech literature--19th century--History and criticism.</t>
  </si>
  <si>
    <t>Kapitoly Z dějin Chirurgie V českých Zemích</t>
  </si>
  <si>
    <t>Sváb, Jan</t>
  </si>
  <si>
    <t>RD19.K375 2016</t>
  </si>
  <si>
    <t>617.09</t>
  </si>
  <si>
    <t>Surgery--History.</t>
  </si>
  <si>
    <t>Ve světle kabaly: Židovská mystika v polské literatuře meziválečného období</t>
  </si>
  <si>
    <t>Benešová, Michala</t>
  </si>
  <si>
    <t>Geography/Travel; Literature</t>
  </si>
  <si>
    <t>G7158.W282.B464 2017</t>
  </si>
  <si>
    <t>891.85170000000005</t>
  </si>
  <si>
    <t>Wat, Aleksander--Criticism and interpretation.</t>
  </si>
  <si>
    <t>Alois Richard Nykl : Padesát let cest jazykozpytce a filosofa</t>
  </si>
  <si>
    <t>Ženka, Josef  (ed.)</t>
  </si>
  <si>
    <t>P81.U5.A465 2016</t>
  </si>
  <si>
    <t>410.92273</t>
  </si>
  <si>
    <t>Linguists--United States--Biography.</t>
  </si>
  <si>
    <t>(Neue) Bibliographie Zum Deutsch-Tschechischen Sprachvergleich</t>
  </si>
  <si>
    <t>Simečková, Alena</t>
  </si>
  <si>
    <t>P134.N484 2017</t>
  </si>
  <si>
    <t>Historik V Pohybu</t>
  </si>
  <si>
    <t>2017-07-18</t>
  </si>
  <si>
    <t>Křen, Jan</t>
  </si>
  <si>
    <t>DB2063.K746 2013</t>
  </si>
  <si>
    <t>Czech Republic--History.</t>
  </si>
  <si>
    <t>Skolní Vzdělávání V Ruské Federaci</t>
  </si>
  <si>
    <t>Ježková, Věra;Walterová, Eliska;Abankina, Taťjana</t>
  </si>
  <si>
    <t>LB2822.75.S565 2013</t>
  </si>
  <si>
    <t>379.15800000000002</t>
  </si>
  <si>
    <t>Educational evaluation--Russia (Federation)</t>
  </si>
  <si>
    <t>Poznávání života</t>
  </si>
  <si>
    <t>2017-05-01</t>
  </si>
  <si>
    <t>Canguilhem, Georges</t>
  </si>
  <si>
    <t>B4802.C364 2017</t>
  </si>
  <si>
    <t>199.43700000000001</t>
  </si>
  <si>
    <t>Philosophy, Czech--20th century.</t>
  </si>
  <si>
    <t>Klinická Neuropsychologie V Praxi</t>
  </si>
  <si>
    <t>Kulisťák, Petr</t>
  </si>
  <si>
    <t>Science; Science: Biology/Natural History; Psychology</t>
  </si>
  <si>
    <t>QP360.K855 2017</t>
  </si>
  <si>
    <t>Neuropsychology--Research.</t>
  </si>
  <si>
    <t>Co je ironická věda</t>
  </si>
  <si>
    <t>Vörös, István;Kopáč, Radim (ed.)</t>
  </si>
  <si>
    <t>PG5001.V676 2017</t>
  </si>
  <si>
    <t>Skejuš - Skejušané - Skejušan. Rusíni v Chomutově, původ, historie a současnost</t>
  </si>
  <si>
    <t>Malinová, Irina;Otčenášek, Jaroslav;Lendělová, Věra</t>
  </si>
  <si>
    <t>DJK28.R87.M355 2016</t>
  </si>
  <si>
    <t>305.89179100000001</t>
  </si>
  <si>
    <t>Ruthenians--History.</t>
  </si>
  <si>
    <t>Elektroencefalografické koreláty pohybového chování a výkonnostní zátěže</t>
  </si>
  <si>
    <t>Pánek, David</t>
  </si>
  <si>
    <t>RC386.6.E43.P364 2016</t>
  </si>
  <si>
    <t>616.80475469999999</t>
  </si>
  <si>
    <t>Electroencephalography--Psychological aspects.</t>
  </si>
  <si>
    <t>Prezidentství Baracka Obamy: naplněné vize?</t>
  </si>
  <si>
    <t>Fiřtová, Magdalena;Hornát, Jan;Sehnálková, Jana (eds.)</t>
  </si>
  <si>
    <t>E176.1.P749 2017</t>
  </si>
  <si>
    <t>973.09900000000005</t>
  </si>
  <si>
    <t>Presidents--United States--Biography.</t>
  </si>
  <si>
    <t>Populismus V časech Krize</t>
  </si>
  <si>
    <t>Kubát, Michal;Mejstřík, Martin;Kocian, Jiří</t>
  </si>
  <si>
    <t>JN40.P678 2017</t>
  </si>
  <si>
    <t>320.56620939999999</t>
  </si>
  <si>
    <t>Populism--Europe.</t>
  </si>
  <si>
    <t>Záhady kolem sňatku Anny Kateřiny Šporkové</t>
  </si>
  <si>
    <t>Hrdina, Ignác Antonín;Kuchařová, Hedvika</t>
  </si>
  <si>
    <t>K675.H735 2017</t>
  </si>
  <si>
    <t>346.01600000000002</t>
  </si>
  <si>
    <t>Marriage law--History.</t>
  </si>
  <si>
    <t>Philosophy; Medicine</t>
  </si>
  <si>
    <t>R723.5.K439 2017</t>
  </si>
  <si>
    <t>174.2</t>
  </si>
  <si>
    <t>Medical care--Decision making.</t>
  </si>
  <si>
    <t>Před úsvitem, Po Ránu : Eseje o dětech a Rodičích</t>
  </si>
  <si>
    <t>BF722.K685 2017</t>
  </si>
  <si>
    <t>155.40723</t>
  </si>
  <si>
    <t>Child psychology--Research--Methodology.</t>
  </si>
  <si>
    <t>K Teorii Vojenského Plavání</t>
  </si>
  <si>
    <t>Sýkora, Karel</t>
  </si>
  <si>
    <t>GV838.53.S24.S956 2017</t>
  </si>
  <si>
    <t>797.21028899999999</t>
  </si>
  <si>
    <t>Swimming--Safety measures--Study and teaching.</t>
  </si>
  <si>
    <t>Identity, Tradition and Revitalisation of American Indian Culture</t>
  </si>
  <si>
    <t>GN316.I346 2017</t>
  </si>
  <si>
    <t>Ethnology.</t>
  </si>
  <si>
    <t>Instability in the Middle East : Structural Changes and Uneven Modernisation 1950–2015</t>
  </si>
  <si>
    <t>2017-06-27</t>
  </si>
  <si>
    <t>2017-10-26</t>
  </si>
  <si>
    <t>Černý, Karel;Jones, Phill</t>
  </si>
  <si>
    <t>GN635.N42.C476 2017</t>
  </si>
  <si>
    <t>303.40956</t>
  </si>
  <si>
    <t>Social change--Middle East.</t>
  </si>
  <si>
    <t>Pud u Freuda</t>
  </si>
  <si>
    <t>2017-06-01</t>
  </si>
  <si>
    <t>Kučera, Miloš</t>
  </si>
  <si>
    <t>BF173.F85.K834 2017</t>
  </si>
  <si>
    <t>150.1952</t>
  </si>
  <si>
    <t>Freud, Sigmund,--1856-1939.</t>
  </si>
  <si>
    <t>Small Towns in Europe in the 20th and 21st Centuries. : Heritage and Development Strategies</t>
  </si>
  <si>
    <t>2017-07-01</t>
  </si>
  <si>
    <t>Klusáková, Luďa et al.</t>
  </si>
  <si>
    <t>HT166.K587 2017</t>
  </si>
  <si>
    <t>307.1216</t>
  </si>
  <si>
    <t>Small cities--Europe.</t>
  </si>
  <si>
    <t>Být místem Bytí. Tři příspěvky ke studiu Martina Heideggera</t>
  </si>
  <si>
    <t>Michálek, Jiří</t>
  </si>
  <si>
    <t>B3279.H49.M534 2017</t>
  </si>
  <si>
    <t>111.0924</t>
  </si>
  <si>
    <t>Heidegger, Martin,--1889-1976.</t>
  </si>
  <si>
    <t>Klasická teoretická fyzika</t>
  </si>
  <si>
    <t>Štoll, Ivan;Tolar, Jiří;Jex, Igor</t>
  </si>
  <si>
    <t>QC631.S765 2017</t>
  </si>
  <si>
    <t>537.6</t>
  </si>
  <si>
    <t>Electrodynamics.</t>
  </si>
  <si>
    <t>Urbánní situace</t>
  </si>
  <si>
    <t>Myšlení současnosti</t>
  </si>
  <si>
    <t>Mongin, Olivier</t>
  </si>
  <si>
    <t>HT113.M664 2017</t>
  </si>
  <si>
    <t>307.76010000000002</t>
  </si>
  <si>
    <t>Cities and towns--Philosophy.</t>
  </si>
  <si>
    <t>Le Chasseur de rats</t>
  </si>
  <si>
    <t>Dyk, Viktor</t>
  </si>
  <si>
    <t>Fiction</t>
  </si>
  <si>
    <t>Druhá Republika: 167 Obyčejných Dní</t>
  </si>
  <si>
    <t>2017-10-28</t>
  </si>
  <si>
    <t>Jirák, Jan;Bednařík, Petr;Köpplová, Barbara</t>
  </si>
  <si>
    <t>DB2208.7.J573 2016</t>
  </si>
  <si>
    <t>304.80943709042998</t>
  </si>
  <si>
    <t>Mass media--Political aspects--Czechoslovakia.</t>
  </si>
  <si>
    <t>Ivan M. Havel : Od Puzuka k Sakatekovi (1938–1989)</t>
  </si>
  <si>
    <t>2017-09-01</t>
  </si>
  <si>
    <t>Wohlmuth Markupová, Jana</t>
  </si>
  <si>
    <t>Science: General; Science</t>
  </si>
  <si>
    <t>Q141.M375 2017</t>
  </si>
  <si>
    <t>509.22</t>
  </si>
  <si>
    <t>Scientists--Czechoslovakia--Biography.</t>
  </si>
  <si>
    <t>Brány Pekelné Ji Nepřemohou : Kapitoly Z Pronásledování Církví V Československu Kolem Roku 1950</t>
  </si>
  <si>
    <t>2017-11-30</t>
  </si>
  <si>
    <t>Kubín, Petr</t>
  </si>
  <si>
    <t>Religion; Political Science</t>
  </si>
  <si>
    <t>BR1050.C9 .B736 2013</t>
  </si>
  <si>
    <t>322.10943709045</t>
  </si>
  <si>
    <t>Church and state-Czechoslovakia.</t>
  </si>
  <si>
    <t>Nová náboženství a násilí</t>
  </si>
  <si>
    <t>2017-10-01</t>
  </si>
  <si>
    <t>Religionistika</t>
  </si>
  <si>
    <t>Vojtíšek, Zdeněk</t>
  </si>
  <si>
    <t>BL65.V55 .V658 2017</t>
  </si>
  <si>
    <t>201.76332</t>
  </si>
  <si>
    <t>Violence-Religious aspects.</t>
  </si>
  <si>
    <t>Tělesná výchova na 1. stupni základní školy</t>
  </si>
  <si>
    <t>2017-08-01</t>
  </si>
  <si>
    <t>Dvořáková, Hana;Engelthalerová, Zdeňka a kol.</t>
  </si>
  <si>
    <t>Education; Sport &amp;amp; Recreation</t>
  </si>
  <si>
    <t>GV363 .D867 2017</t>
  </si>
  <si>
    <t>372.86</t>
  </si>
  <si>
    <t>Physical education and training-Study and teaching (Elementary)</t>
  </si>
  <si>
    <t>Kritická Místa Matematiky Základní Skoly V řesení Záků</t>
  </si>
  <si>
    <t>Vondrová, Naďa</t>
  </si>
  <si>
    <t>Mathematics; Education</t>
  </si>
  <si>
    <t>QA135.5 .V663 2015</t>
  </si>
  <si>
    <t>372.7</t>
  </si>
  <si>
    <t>Mathematics-Study and teaching (Elementary)</t>
  </si>
  <si>
    <t>The Defence of Constitutionalism : The Czech Question in Post-national Europe</t>
  </si>
  <si>
    <t>Václav Havel Series</t>
  </si>
  <si>
    <t>Přibáň, Jiří;Hoskins, Stuart</t>
  </si>
  <si>
    <t>The Well at Morning : Selected Poems and Graphic Artworks, 1925–1971</t>
  </si>
  <si>
    <t>Reynek, Bohuslav;Quinn, Justin</t>
  </si>
  <si>
    <t>PG5025 .R496 2017</t>
  </si>
  <si>
    <t>891.861008</t>
  </si>
  <si>
    <t>Czech poetry-20th century.</t>
  </si>
  <si>
    <t>Ruprechtice: Veřejný prostor podle mentálních map</t>
  </si>
  <si>
    <t>Spalová, Barbora;Umlauf, Václav;Trebická, Ivana</t>
  </si>
  <si>
    <t>RC386.6.B7 .S635 2017</t>
  </si>
  <si>
    <t>616.804754</t>
  </si>
  <si>
    <t>Brain mapping-Statistical methods.</t>
  </si>
  <si>
    <t>O chalupách a lidech : České chalupářství v období tzv. normalizace a transformace</t>
  </si>
  <si>
    <t>Schindler;Wisten, Petra</t>
  </si>
  <si>
    <t>DB2228 .W578 2017</t>
  </si>
  <si>
    <t>306.409437</t>
  </si>
  <si>
    <t>Czechoslovakia-Cultural policy.</t>
  </si>
  <si>
    <t>Železniční reforma v Německu</t>
  </si>
  <si>
    <t>Nigrin, Tomáš;Tomeš, Zdeněk;Seidenglanz, Daniel</t>
  </si>
  <si>
    <t>HE3075 .Z454 2017</t>
  </si>
  <si>
    <t>385.06543</t>
  </si>
  <si>
    <t>Railroads-Germany. ; Transportation and state-Germany.</t>
  </si>
  <si>
    <t>Kolektivizace venkova v horním Polabí : Od fenoménů k aktérům a jejich motivacím</t>
  </si>
  <si>
    <t>Urban, Jiří</t>
  </si>
  <si>
    <t>The Country House Revisited: Variations on a Theme from Forster to Hollinghurst</t>
  </si>
  <si>
    <t>Topolovská, Tereza</t>
  </si>
  <si>
    <t>Alois Richard Nykl: Poznámky k revoluční akci v Chicagu (1914–1918)</t>
  </si>
  <si>
    <t>Příručka k morfologii češtiny : (výklad a cvičení s řešeními)</t>
  </si>
  <si>
    <t>Adam, Robert</t>
  </si>
  <si>
    <t>Mariánský sloup na Hradčanském náměstí</t>
  </si>
  <si>
    <t>Adamcová, Kateřina;Zahradník, Pavel</t>
  </si>
  <si>
    <t>Běloruská emigrace v meziválečném Československu. Studie a dokumenty.</t>
  </si>
  <si>
    <t>Kolenovská, Daniela;Plavec, Michal</t>
  </si>
  <si>
    <t>Terénní výzkum v sociální a kulturní antropologii</t>
  </si>
  <si>
    <t>2018-01-05</t>
  </si>
  <si>
    <t>Soukup, Martin</t>
  </si>
  <si>
    <t>CC72.4 .S685 2014</t>
  </si>
  <si>
    <t>930.1</t>
  </si>
  <si>
    <t>Social archaeology-Research.</t>
  </si>
  <si>
    <t>Prostor(y) geografie</t>
  </si>
  <si>
    <t>Matoušek, Roman;Osman, Robert</t>
  </si>
  <si>
    <t>Engineering: Electrical; Engineering; Geography/Travel</t>
  </si>
  <si>
    <t>G70.4 .P767 2017</t>
  </si>
  <si>
    <t>621.3678</t>
  </si>
  <si>
    <t>Geography-Remote sensing.</t>
  </si>
  <si>
    <t>Jak Odskodnit Holocaust? : Problematika Vyvlastnění Zidovského Majetku, Jeho Restituce a Odskodnění</t>
  </si>
  <si>
    <t>D810.A7 .K855 2017</t>
  </si>
  <si>
    <t>940.5318144</t>
  </si>
  <si>
    <t>Jewish property-Europe. ; Restitution-Czech Republic.</t>
  </si>
  <si>
    <t>Mikuláš Puchník</t>
  </si>
  <si>
    <t>Budský, Dominik</t>
  </si>
  <si>
    <t>K588 .B837 2017</t>
  </si>
  <si>
    <t>340.57</t>
  </si>
  <si>
    <t>Common law-History.</t>
  </si>
  <si>
    <t>Gender a pravěká společnost</t>
  </si>
  <si>
    <t>Remišová Věšínová, Kamila</t>
  </si>
  <si>
    <t>CC100 .V475 2017</t>
  </si>
  <si>
    <t>Archaeology-History.</t>
  </si>
  <si>
    <t>Subjektivní vnímání tělesné zátěže</t>
  </si>
  <si>
    <t>Daďová, Klára</t>
  </si>
  <si>
    <t>HD58.8 .D336 2015</t>
  </si>
  <si>
    <t>658.406</t>
  </si>
  <si>
    <t>Organizational change-Management.</t>
  </si>
  <si>
    <t>Obsahový rozbor současné angličtiny</t>
  </si>
  <si>
    <t>Mathesius, Vilém</t>
  </si>
  <si>
    <t>PE1128 .M384 2016</t>
  </si>
  <si>
    <t>428.24</t>
  </si>
  <si>
    <t>English language-Textbooks for foreign speakers.</t>
  </si>
  <si>
    <t>Mluvit mlčky</t>
  </si>
  <si>
    <t>Těšínská Lomičková, Radka</t>
  </si>
  <si>
    <t>BX2435 .L665 2016</t>
  </si>
  <si>
    <t>Monastic and religious life-Early works to 1800.</t>
  </si>
  <si>
    <t>Jak studovat aktéra a sociální změnu z perspektivy historické sociologie</t>
  </si>
  <si>
    <t>Maslowski, Nicolas;Šalanda, Bohuslav</t>
  </si>
  <si>
    <t>HM104 .J35 2017</t>
  </si>
  <si>
    <t>Historical sociology-Methodology.</t>
  </si>
  <si>
    <t>Fyzikální metody organické chemie</t>
  </si>
  <si>
    <t>Waisser, Karel;Pour, Milan</t>
  </si>
  <si>
    <t>QD272.S6 .W357 2017</t>
  </si>
  <si>
    <t>547.122</t>
  </si>
  <si>
    <t>Organic compounds-Analysis.</t>
  </si>
  <si>
    <t>Obchodní korporace v judikatuře českých a zahraničních soudů</t>
  </si>
  <si>
    <t>Hurychová, Klára;Tomášek, Petr;Zvára, Michael</t>
  </si>
  <si>
    <t>KJP5508.9 .H879 2016</t>
  </si>
  <si>
    <t>346.066</t>
  </si>
  <si>
    <t>Corporation law-Czech Republic-Cases. ; Corporation law-Europe-Cases.</t>
  </si>
  <si>
    <t>Fenomén Dijon. Století českých maturit ve Francii.</t>
  </si>
  <si>
    <t>Hnilica, Jiří</t>
  </si>
  <si>
    <t>DC36.9 .H555 2017</t>
  </si>
  <si>
    <t>907.2044</t>
  </si>
  <si>
    <t>France-Historiography.</t>
  </si>
  <si>
    <t>Vida y obra de Juan Bosch en el contexto de la historia de la República Dominicana</t>
  </si>
  <si>
    <t>PQ7409.B65 .V533 2017</t>
  </si>
  <si>
    <t>Bosch, Juan,-1909-2001-Criticism and interpretation.</t>
  </si>
  <si>
    <t>Epistemic modality in spoken standard Tibetian: epistemic verbal endings and copulas</t>
  </si>
  <si>
    <t>Vokurková, Zuzana</t>
  </si>
  <si>
    <t>B820.3 .V658 2017</t>
  </si>
  <si>
    <t>Epistemics.</t>
  </si>
  <si>
    <t>Metodologie a logika výzkumu v hudební pedagogice</t>
  </si>
  <si>
    <t>Váňová, Hana;Skopal, Jiří</t>
  </si>
  <si>
    <t>MT1 .V366 2017</t>
  </si>
  <si>
    <t>Music-Instruction and study.</t>
  </si>
  <si>
    <t>Sociální souvislosti aktivního stáří</t>
  </si>
  <si>
    <t>Tomeš, Igor;Šámalová, Kateřina a kol.</t>
  </si>
  <si>
    <t>KF3737 .S635 2017</t>
  </si>
  <si>
    <t>344.730326</t>
  </si>
  <si>
    <t>Old age assistance-Law and legislation-United States. ; Older people-Medical care.</t>
  </si>
  <si>
    <t>Školní vzdělávání ve Francii</t>
  </si>
  <si>
    <t>Šťastný, Vít;Svobodová, Zuzana;Rochex, Jean-Yves</t>
  </si>
  <si>
    <t>LA692 .S737 2017</t>
  </si>
  <si>
    <t>370.944</t>
  </si>
  <si>
    <t>Education-France. ; Education and state-France.</t>
  </si>
  <si>
    <t>Tělesná výchova na 2. stupni základních škol</t>
  </si>
  <si>
    <t>Hrabinec, Jiří a kol.</t>
  </si>
  <si>
    <t>GV341 .T454 2017</t>
  </si>
  <si>
    <t>Physical education and training.</t>
  </si>
  <si>
    <t>Aerobik a fitness</t>
  </si>
  <si>
    <t>Kovaříková, Klára</t>
  </si>
  <si>
    <t>RA781.15 .K683 2017</t>
  </si>
  <si>
    <t>613.715</t>
  </si>
  <si>
    <t>Aerobic exercises. ; Physical fitness.</t>
  </si>
  <si>
    <t>Čeština nerodilých mluvčích s mateřským jazykem neslovanským</t>
  </si>
  <si>
    <t>Kotková, Radomila</t>
  </si>
  <si>
    <t>P118 .K685 2017</t>
  </si>
  <si>
    <t>Language acquisition-Czech Republic.</t>
  </si>
  <si>
    <t>Mizení</t>
  </si>
  <si>
    <t>Svatoňová, Kateřina;Krtilová, Kateřina</t>
  </si>
  <si>
    <t>Literature; Social Science</t>
  </si>
  <si>
    <t>PN4553 .M594 2017</t>
  </si>
  <si>
    <t>302.231</t>
  </si>
  <si>
    <t>Social media-Philosophy.</t>
  </si>
  <si>
    <t>Jazyk a myšlení</t>
  </si>
  <si>
    <t>Imaiová, Mucumi</t>
  </si>
  <si>
    <t>P37 .I435 2017</t>
  </si>
  <si>
    <t>Psycholinguistics. ; Thought and thinking.</t>
  </si>
  <si>
    <t>Moc krásy</t>
  </si>
  <si>
    <t>Matějů, Petr;Hamplová, Dana;Hampl, Petr</t>
  </si>
  <si>
    <t>HM708 .M63 2017</t>
  </si>
  <si>
    <t>Social capital (Sociology)</t>
  </si>
  <si>
    <t>Česká věta na rozhraní mezi gramatikou a pragmatikou</t>
  </si>
  <si>
    <t>P99.4.P72 .H577 2017</t>
  </si>
  <si>
    <t>306.44</t>
  </si>
  <si>
    <t>Pragmatics-Czech Republic. ; Grammar, Comparative and general-Czech Republic. ; Language and languages-Grammars-Czech Republic.</t>
  </si>
  <si>
    <t>Angažovaná čítanka Romana Jakobsona</t>
  </si>
  <si>
    <t>Toman, Jindřich</t>
  </si>
  <si>
    <t>P85.J3 .A543 2017</t>
  </si>
  <si>
    <t>410.92</t>
  </si>
  <si>
    <t>Jakobson, Roman,-1896-1982. ; Linguists-Russia-20th century.</t>
  </si>
  <si>
    <t>K filosofii náboženství</t>
  </si>
  <si>
    <t>BL51 .F863 2017</t>
  </si>
  <si>
    <t>200.1</t>
  </si>
  <si>
    <t>Philosophy and religion.</t>
  </si>
  <si>
    <t>Outlines of Histology</t>
  </si>
  <si>
    <t>QM551 .S557 2017</t>
  </si>
  <si>
    <t>Rozvoj silových schopností na nestabilních plochách</t>
  </si>
  <si>
    <t>Jebavý, Radim</t>
  </si>
  <si>
    <t>Science; Science: Anatomy/Physiology; Science: Biology/Natural History</t>
  </si>
  <si>
    <t>QP321 .J433 2017</t>
  </si>
  <si>
    <t>612.74</t>
  </si>
  <si>
    <t>Muscle strength.</t>
  </si>
  <si>
    <t>Gramatické Rozbory čestiny : Výklad a Cvičení S řeseními</t>
  </si>
  <si>
    <t>P291 .G736 2017</t>
  </si>
  <si>
    <t>Grammar, Comparative and general-Syntax. ; Grammar, Comparative and general-Word formation.</t>
  </si>
  <si>
    <t>Laudabile Carmen - část II</t>
  </si>
  <si>
    <t>PN183 .K883 2017</t>
  </si>
  <si>
    <t>Rhetoric-History.</t>
  </si>
  <si>
    <t>Slovník Zurnalistiky</t>
  </si>
  <si>
    <t>2018-03-22</t>
  </si>
  <si>
    <t>Halada, Jan;Osvaldov�, Barbora (eds. )</t>
  </si>
  <si>
    <t>PN4728 .S568 2017</t>
  </si>
  <si>
    <t>070.403</t>
  </si>
  <si>
    <t>Journalism-Dictionaries-Czech Republic.</t>
  </si>
  <si>
    <t>Didactique de la phonétique et phonétique en didactique du FLE</t>
  </si>
  <si>
    <t>Borek-Dohalská, Marie;Suková Vychopnová, Katerina</t>
  </si>
  <si>
    <t>PC2066 .D533 2015</t>
  </si>
  <si>
    <t>448.007</t>
  </si>
  <si>
    <t>French language-Study and teaching-Foreign speakers. ; French language-Phonetics.</t>
  </si>
  <si>
    <t>Nové Kapitoly Ze Sociálního lékařství a Veřejného Zdravotnictví</t>
  </si>
  <si>
    <t>2017-12-01</t>
  </si>
  <si>
    <t>Čeledová, Libuse;Holčík, Jan A. kol.</t>
  </si>
  <si>
    <t>RA418 .C454 2017</t>
  </si>
  <si>
    <t>362.1</t>
  </si>
  <si>
    <t>Social medicine-Textbooks. ; Public health-Textbooks.</t>
  </si>
  <si>
    <t>Lékařská Histologie II. Mikroskopická Anatomie</t>
  </si>
  <si>
    <t>2018-01-01</t>
  </si>
  <si>
    <t>Vajner, Luděk;Uhl�k, Jiří;Konr�dov�, V�clava</t>
  </si>
  <si>
    <t>QH205 .L453 2017</t>
  </si>
  <si>
    <t>Microscopy. ; Histology. ; Histology, Pathological.</t>
  </si>
  <si>
    <t>Zivotní Styl ceské Mládeze : Pohybová Aktivita, Standardy a Normy Motorické Výkonnosti</t>
  </si>
  <si>
    <t>2017-11-01</t>
  </si>
  <si>
    <t>Rychtecky, Antonin;Tilinger, Pavel</t>
  </si>
  <si>
    <t>Ruská Agrese Proti Ukrajině</t>
  </si>
  <si>
    <t>Sír, Jan A. kol.</t>
  </si>
  <si>
    <t>DK508.57.R9 .S575 2017</t>
  </si>
  <si>
    <t>327.470477</t>
  </si>
  <si>
    <t>Borderlands-Ukraine. ; Borderlands-Russia (Federation) ; Ukraine-Foreign relations-Russia (Federation) ; Russia (Federation)-Foreign relations-Ukraine. ; Ukraine-Boundaries-Russia (Federation) ; Russia (Federation)-Boundaries-Ukraine.</t>
  </si>
  <si>
    <t>Smrt : Esej o Konečnosti</t>
  </si>
  <si>
    <t>Dasturov�, Francoise</t>
  </si>
  <si>
    <t>BD444 .D378 2017</t>
  </si>
  <si>
    <t>128.5</t>
  </si>
  <si>
    <t>Death. ; Finite, The.</t>
  </si>
  <si>
    <t>Trénink dětí a Mládeze Ve Volejbalu</t>
  </si>
  <si>
    <t>Buchtel, Jaroslav</t>
  </si>
  <si>
    <t>Člověk ve zdraví i v nemoci Podpora zdraví a prevence nemocí ve stáří</t>
  </si>
  <si>
    <t>Čeledová, Libuse;Čevela, Rostislav A. kol.</t>
  </si>
  <si>
    <t>RA427.8 .C454 2017</t>
  </si>
  <si>
    <t>Health promotion. ; Public health. ; Medicine, Preventive. ; Self-care, Health.</t>
  </si>
  <si>
    <t>Budování Národních Organizací YMCA V Československu a Polsku : Rozvoj Tělesné Kultury V Letech 1918-1939</t>
  </si>
  <si>
    <t>Tlust�, Tomás</t>
  </si>
  <si>
    <t>Religion; Health; Social Science</t>
  </si>
  <si>
    <t>RA427.8 .T587 2017</t>
  </si>
  <si>
    <t>267.3</t>
  </si>
  <si>
    <t>Young Men's Christian associations. ; Young Men's Christian associations-Czechoslovakia. ; Young Men's Christian associations-Poland.</t>
  </si>
  <si>
    <t>Sportovní Genomika: Genetické Determinanty Pohybové činnosti</t>
  </si>
  <si>
    <t>Petr, Miroslav</t>
  </si>
  <si>
    <t>Health</t>
  </si>
  <si>
    <t>613.7 .P487 2017</t>
  </si>
  <si>
    <t>Physical fitness-Genetic aspects. ; Genomics.</t>
  </si>
  <si>
    <t>Korpus a korpusová lingvistika</t>
  </si>
  <si>
    <t>Cermak, Frantisek</t>
  </si>
  <si>
    <t>P126 .C476 2017</t>
  </si>
  <si>
    <t>Linguistic analysis (Linguistics)-Software.</t>
  </si>
  <si>
    <t>Rozkos Mezi Pohlavími : Sexuální Diference Od Antiky Po Freuda</t>
  </si>
  <si>
    <t>Laqueur, Thomas</t>
  </si>
  <si>
    <t>GN479.65 .L378 2017</t>
  </si>
  <si>
    <t>305.3</t>
  </si>
  <si>
    <t>Gender identity-Cross-cultural studies.</t>
  </si>
  <si>
    <t>Public Policy</t>
  </si>
  <si>
    <t>Potůček, Martin et al.</t>
  </si>
  <si>
    <t>JF1525.P6 .P688 2017</t>
  </si>
  <si>
    <t>320.6</t>
  </si>
  <si>
    <t>Political planning. ; Political planning-Case studies.</t>
  </si>
  <si>
    <t>Komunikace řečí, Komunikace Lidí... : Sborník Pro Marii Bořek-Dohalskou</t>
  </si>
  <si>
    <t>Vlčková;Mejvaldov�, Jana</t>
  </si>
  <si>
    <t>P95.3 .V535 2017</t>
  </si>
  <si>
    <t>302.2242</t>
  </si>
  <si>
    <t>Oral communication-Study and teaching.</t>
  </si>
  <si>
    <t>Učit Se Být Učitelem</t>
  </si>
  <si>
    <t>Strouhal, Martin (ed. )</t>
  </si>
  <si>
    <t>LB1707 .U258 2016</t>
  </si>
  <si>
    <t>370.711</t>
  </si>
  <si>
    <t>Teachers-Training of. ; Education-Study and teaching (Higher)</t>
  </si>
  <si>
    <t>Čtení a Psaní Odborného Textu V Environmentálních Vědách</t>
  </si>
  <si>
    <t>Frouz, Jan;Vindusková, Olga</t>
  </si>
  <si>
    <t>Economics; Environmental Studies</t>
  </si>
  <si>
    <t>GE50 .F768 2017</t>
  </si>
  <si>
    <t>333.7209</t>
  </si>
  <si>
    <t>Environmental sciences-History.</t>
  </si>
  <si>
    <t>Saturnin</t>
  </si>
  <si>
    <t>2018-04-16</t>
  </si>
  <si>
    <t>Jirotka, Zdeněk;Corner, Mark Adrian</t>
  </si>
  <si>
    <t>Behind the Lines</t>
  </si>
  <si>
    <t>Hasek, Jaroslav;Corner, Mark</t>
  </si>
  <si>
    <t>PG5038.H28</t>
  </si>
  <si>
    <t>Gramofon. Film. Typewriter</t>
  </si>
  <si>
    <t>Kittler, Friedrich</t>
  </si>
  <si>
    <t>Hrabal, Bohumil;Short, David;Kadlec, Václev</t>
  </si>
  <si>
    <t>PG5039.18.R2</t>
  </si>
  <si>
    <t>ElektÅ(tm)ina a Magnetismus</t>
  </si>
  <si>
    <t>Sedlák, BedÅ(tm)ich;Štoll, Ivan</t>
  </si>
  <si>
    <t>Science: Physics</t>
  </si>
  <si>
    <t>We Were a Handful (paperback)</t>
  </si>
  <si>
    <t>Poláček, Karel;Corner, Mark</t>
  </si>
  <si>
    <t>Vančura, Vladislav;Corner, Mark</t>
  </si>
  <si>
    <t>The Cremator</t>
  </si>
  <si>
    <t>Fuks, Ladislav;Kandler, Eva;Chitnis, Rajendra A.</t>
  </si>
  <si>
    <t>891.8/635</t>
  </si>
  <si>
    <t>Methodology of Social Sciences</t>
  </si>
  <si>
    <t>2018-05-24</t>
  </si>
  <si>
    <t>H61 .O247 2015</t>
  </si>
  <si>
    <t>300.1</t>
  </si>
  <si>
    <t>Social sciences-Methodology.</t>
  </si>
  <si>
    <t>Exile in London : The Experience of Czechoslovakia and the Other Occupied Nations, 1939-1945</t>
  </si>
  <si>
    <t>2018-02-01</t>
  </si>
  <si>
    <t>Smetana, V�t;Geaney, Kathleen Brenda</t>
  </si>
  <si>
    <t>D443 .E955 2017</t>
  </si>
  <si>
    <t>940.5</t>
  </si>
  <si>
    <t>Europe-Politics and government-1918-1945. ; World War, 1939-1945-Governments in exile. ; Governments in exile.</t>
  </si>
  <si>
    <t>Detecting and Reducing Corruption Risk and Fraud in the Public Sector</t>
  </si>
  <si>
    <t>Ochrana, Frantisek;Půček, Milan Jan;Plaček, Michal</t>
  </si>
  <si>
    <t>JN2220 .O247 2017</t>
  </si>
  <si>
    <t>Public administration-Czech Republic. ; Corruption-Czech Republic.</t>
  </si>
  <si>
    <t>Global Competition or Convergence? : Ideological and Economic Interactions of a Rising China and the U. S.</t>
  </si>
  <si>
    <t>Horn�t, Jan;Kindl, Lukás</t>
  </si>
  <si>
    <t>JZ1480 .H676 2018</t>
  </si>
  <si>
    <t>327.7300905</t>
  </si>
  <si>
    <t>United States-Foreign relations-21st century.</t>
  </si>
  <si>
    <t>Kavky a Kosatce : Antropologie Turismu, Prostoru a Identity V Maroku</t>
  </si>
  <si>
    <t>Konop�kov�, Michaela</t>
  </si>
  <si>
    <t>DT328.A8 .K666 2018</t>
  </si>
  <si>
    <t>964.004933</t>
  </si>
  <si>
    <t>Berbers-Morocco-High Atlas Mountains.</t>
  </si>
  <si>
    <t>Tři životy. Frantisek Falerski - Skaut, Politický Vězeň a Osobnost K 231</t>
  </si>
  <si>
    <t>Smídová, Lucie</t>
  </si>
  <si>
    <t>DB215.5 .S653 2017</t>
  </si>
  <si>
    <t>364.13</t>
  </si>
  <si>
    <t>Political prisoners-Czechoslovakia-Biography.</t>
  </si>
  <si>
    <t>Princip Solidarity Ve Financování Služeb Sociální Péče</t>
  </si>
  <si>
    <t>Vojtísek, Petr</t>
  </si>
  <si>
    <t>HB99.3 .V658 2018</t>
  </si>
  <si>
    <t>330.155</t>
  </si>
  <si>
    <t>Welfare economics.</t>
  </si>
  <si>
    <t>Nemecká Vysoká Skola Technická V Praze (1938-1945) : Struktura, správa, lidé</t>
  </si>
  <si>
    <t>Josefovičová, Milena</t>
  </si>
  <si>
    <t>LB2321 .J674 2017</t>
  </si>
  <si>
    <t>Universities and colleges.</t>
  </si>
  <si>
    <t>Válka Severu Proti Jihu</t>
  </si>
  <si>
    <t>Opatrny´, Josef</t>
  </si>
  <si>
    <t>E468 .O638 2017</t>
  </si>
  <si>
    <t>973.7</t>
  </si>
  <si>
    <t>United States-History-Civil War, 1861-1865.</t>
  </si>
  <si>
    <t>Basics of Medical Physics</t>
  </si>
  <si>
    <t>Jir�k, Daniel;V�tek, Frantisek</t>
  </si>
  <si>
    <t>R895 .J573 2017</t>
  </si>
  <si>
    <t>610.153</t>
  </si>
  <si>
    <t>Medical physics.</t>
  </si>
  <si>
    <t>Morfologie Současné Angličtiny</t>
  </si>
  <si>
    <t>Dusková, Libuse;Kl�gr, Ales;Mal�, Mark�ta</t>
  </si>
  <si>
    <t>PE1129.S5 .D875 2018</t>
  </si>
  <si>
    <t>428.249186</t>
  </si>
  <si>
    <t>English language-Textbooks for foreign speakers-Czech.</t>
  </si>
  <si>
    <t>Hegemonie a Socialistická Strategie</t>
  </si>
  <si>
    <t>Laclau, Ernesto;Mouffe, Chantal</t>
  </si>
  <si>
    <t>JZ1312 .L335 2014</t>
  </si>
  <si>
    <t>327.101</t>
  </si>
  <si>
    <t>Hegemony-Philosophy.</t>
  </si>
  <si>
    <t>Defending Nazis in Postwar Czechoslovakia : The Life of K. Resler, Defense Counsel Ex Officio of K. H. Frank</t>
  </si>
  <si>
    <t>�pal, Jakub</t>
  </si>
  <si>
    <t>DD247.F63 .D773 2017</t>
  </si>
  <si>
    <t>320.943086</t>
  </si>
  <si>
    <t>Frank, Karl Hermann,-1898-1946. ; Resler, Kamill,-1893-1961. ; War crime trials-Czech Republic. ; Lawyers-Czech Republic-Biography.</t>
  </si>
  <si>
    <t>New Labour, Británie a Svět</t>
  </si>
  <si>
    <t>Váska, Jan</t>
  </si>
  <si>
    <t>DA591.B56 .V375 2017</t>
  </si>
  <si>
    <t>941.0859092</t>
  </si>
  <si>
    <t>Blair, Tony,-1953-</t>
  </si>
  <si>
    <t>Analýza Privatizace a Restitucí V ČR : Transformace Národního Hospodářství, Zejména Liberalizace Vlastnických Práv: Privatizace, Restituce a Ostatní Systémové Změny</t>
  </si>
  <si>
    <t>HD4160.3 .Z463 2017</t>
  </si>
  <si>
    <t>338.943</t>
  </si>
  <si>
    <t>Privatization-Czech Republic.</t>
  </si>
  <si>
    <t>Předpoklady Primární Plavecké Gramotnosti V Raném Věku</t>
  </si>
  <si>
    <t>Nov�kov�, Tereza;Čechovská, Irena;Pathyov�, Michaela</t>
  </si>
  <si>
    <t>GV837.2 .N683 2015</t>
  </si>
  <si>
    <t>797.21</t>
  </si>
  <si>
    <t>Swimming for children.</t>
  </si>
  <si>
    <t>Čestina Pod Hákovým Křížem</t>
  </si>
  <si>
    <t>Velčovský, V�clav</t>
  </si>
  <si>
    <t>PG4074.73 .V45 2016</t>
  </si>
  <si>
    <t>Czech language-Political aspects. ; German language-Czechoslovakia. ; Language policy-Czechoslovakia. ; Czech language-History-20th century. ; Czechoslovakia-Languages-Political aspects. ; Bohemia and Moravia (Protectorate, 1939-1945)-Social conditions. ; Nazis-Czechoslovakia. ; World War, 1939-1945-Campaigns-Czechoslovakia. ; Czechoslovakia-History-1938-1945.</t>
  </si>
  <si>
    <t>Management a Hospodaření Muzeí</t>
  </si>
  <si>
    <t>2018-03-01</t>
  </si>
  <si>
    <t>Ochrana, Frantisek;Plaček, Michal;Půček, Milan Jan</t>
  </si>
  <si>
    <t>Museums</t>
  </si>
  <si>
    <t>AM121 .O247 2018</t>
  </si>
  <si>
    <t>069.068</t>
  </si>
  <si>
    <t>Museums-Management.</t>
  </si>
  <si>
    <t>Syntax-Semantics Interface</t>
  </si>
  <si>
    <t>Hajičová, Eva</t>
  </si>
  <si>
    <t>P98.5.S45 .H355 2018</t>
  </si>
  <si>
    <t>410.285</t>
  </si>
  <si>
    <t>Computational linguistics.</t>
  </si>
  <si>
    <t>Materializing Identities in Socialist and Post-Socialist Cities</t>
  </si>
  <si>
    <t>2018-05-27</t>
  </si>
  <si>
    <t>Ira, Jaroslav;Janáč, Jiří (eds. )</t>
  </si>
  <si>
    <t>GN395 .M384 2017</t>
  </si>
  <si>
    <t>Urban anthropology-Europe, Eastern. ; Urban anthropology-Asia, Central.</t>
  </si>
  <si>
    <t>Inovace - Vědění - Instituce: K Výzvám Současné Doby</t>
  </si>
  <si>
    <t>M�ller, Karel</t>
  </si>
  <si>
    <t>HM851 .M855 2017</t>
  </si>
  <si>
    <t>303.4833</t>
  </si>
  <si>
    <t>Information society-Social aspects. ; Social sciences-Research.</t>
  </si>
  <si>
    <t>Fonetika Italstiny</t>
  </si>
  <si>
    <t>2018-04-01</t>
  </si>
  <si>
    <t>Radimsk�, Jan</t>
  </si>
  <si>
    <t>PC1135 .R335 2018</t>
  </si>
  <si>
    <t>451.5</t>
  </si>
  <si>
    <t>Italian language-Phonetics.</t>
  </si>
  <si>
    <t>Novozákonní Teologie a Hledání Její Závažnosti</t>
  </si>
  <si>
    <t>Hatina, Thomas R.</t>
  </si>
  <si>
    <t>BS2397 .H385 2018</t>
  </si>
  <si>
    <t>Bible.-New Testament-Theology.</t>
  </si>
  <si>
    <t>Kvantová Mechanika II</t>
  </si>
  <si>
    <t>Klíma, Jan;Velický, Bedrich</t>
  </si>
  <si>
    <t>QC174.17.P7 .K556 2018</t>
  </si>
  <si>
    <t>530.12015195</t>
  </si>
  <si>
    <t>Quantum theory-Statistical methods.</t>
  </si>
  <si>
    <t>Historie Střelectví Z Ručních Palných Zbraní</t>
  </si>
  <si>
    <t>Brych, Jan;Janousek, Ladislav;Parkan, Frantisek</t>
  </si>
  <si>
    <t>Odkaz Rychtáře Vaváka : Příspěvky K životopisu Velkého Písmáka</t>
  </si>
  <si>
    <t>Kučera, Martin (ed. )</t>
  </si>
  <si>
    <t>PG5004 .O353 2018</t>
  </si>
  <si>
    <t>891.68099282</t>
  </si>
  <si>
    <t>Authors, Czech-19th century-Biography.</t>
  </si>
  <si>
    <t>Kapitoly Z dějin Tělesné Kultury</t>
  </si>
  <si>
    <t>K�ssl, Jiří;Stumbauer, Jan;Waic, Marek</t>
  </si>
  <si>
    <t>Principles and Practicals in Medical Microbiology</t>
  </si>
  <si>
    <t>2018-06-28</t>
  </si>
  <si>
    <t>Medicine; Science; Science: Biology/Natural History</t>
  </si>
  <si>
    <t>QR46 .M458 2014</t>
  </si>
  <si>
    <t>Medical microbiology. ; Microbiological techniques.</t>
  </si>
  <si>
    <t>Geneze Pražského Reformního Hnutí, 1360-1419</t>
  </si>
  <si>
    <t>Marin, Olivier</t>
  </si>
  <si>
    <t>BX1527.5.P73 .M375 2017</t>
  </si>
  <si>
    <t>282.4371209023</t>
  </si>
  <si>
    <t>Hussites-Czech Republic-Prague-History. ; Prague (Czech Republic)-Church history. ; Prague (Czech Republic)-Religious life and customs.</t>
  </si>
  <si>
    <t>Minorities and Law in Czechoslovakia, 1918-1992</t>
  </si>
  <si>
    <t>Kuklík, Jan;Petrás, René</t>
  </si>
  <si>
    <t>History; Law</t>
  </si>
  <si>
    <t>KJP2467.M56 .K855 2017</t>
  </si>
  <si>
    <t>940.5315033104371</t>
  </si>
  <si>
    <t>Minorities-Legal status, laws, etc.-Czechoslovakia.</t>
  </si>
  <si>
    <t>USA a Evropská Integrace : Nenápadný Půvab Americké Hegemonie</t>
  </si>
  <si>
    <t>Přikryl, Pavel</t>
  </si>
  <si>
    <t>JZ1480.A54 .P755 2014</t>
  </si>
  <si>
    <t>327.7304</t>
  </si>
  <si>
    <t>North Atlantic Treaty Organization. ; United States-Foreign relations-Europe. ; Europe-Foreign relations-United States. ; United States-Foreign relations-1945-1989.</t>
  </si>
  <si>
    <t>Gérard de Nerval a Jeho Dvojenec : Divadlo Francouzského Romantismu očima Melancholika</t>
  </si>
  <si>
    <t>Christov, Petr</t>
  </si>
  <si>
    <t>PQ2260.G36 .C475 2017</t>
  </si>
  <si>
    <t>848.709</t>
  </si>
  <si>
    <t>Nerval, Gérard de,-1808-1855-Criticism and interpretation. ; Romanticism-France-History-19th century. ; Literature and society-France-History-19th century. ; French drama-19th century-History and criticism.</t>
  </si>
  <si>
    <t>Teoretická Východiska Informační Vědy : Využití Konceptuálního Modelování V Informační Vědě</t>
  </si>
  <si>
    <t>2018-05-01</t>
  </si>
  <si>
    <t>Drobíková, Barbora;Římanová, Radka;Souček, Jiří</t>
  </si>
  <si>
    <t>Computer Science/IT; Science</t>
  </si>
  <si>
    <t>Q387.2 .D7632 2018</t>
  </si>
  <si>
    <t>003.54</t>
  </si>
  <si>
    <t>Conceptual structures (Information theory) ; Information science.</t>
  </si>
  <si>
    <t>Zelené dějiny Světa : Životní Prostředí a Kolaps Velkých Civilizací</t>
  </si>
  <si>
    <t>Ponting, Clive</t>
  </si>
  <si>
    <t>Social Science; Environmental Studies</t>
  </si>
  <si>
    <t>GF75 .P668 2018</t>
  </si>
  <si>
    <t>304.2</t>
  </si>
  <si>
    <t>Nature-Effect of human beings on.</t>
  </si>
  <si>
    <t>Moderní Rétorika Na Univerzitě</t>
  </si>
  <si>
    <t>Spačková, Alena</t>
  </si>
  <si>
    <t>P53.27 .S733 2017</t>
  </si>
  <si>
    <t>808.0071</t>
  </si>
  <si>
    <t>Rhetoric-Study and teaching. ; Universities and colleges-Czech Republic.</t>
  </si>
  <si>
    <t>Umění a Péče o Dusi U Jana Patočky</t>
  </si>
  <si>
    <t>Josl, Jan</t>
  </si>
  <si>
    <t>B4802 .J675 2018</t>
  </si>
  <si>
    <t>Patočka, Jan,-1907-1977. ; Philosophy, Czech-20th century.</t>
  </si>
  <si>
    <t>The Pied Piper</t>
  </si>
  <si>
    <t>O českém Versi</t>
  </si>
  <si>
    <t>Sgallová, Květa</t>
  </si>
  <si>
    <t>PG4511 .S435 2015</t>
  </si>
  <si>
    <t>Czech language-Versification. ; Czech language-Metrics and rhythmics. ; Czech poetry-History and criticism. ; Czech poetry-Metrics and rhythmics.</t>
  </si>
  <si>
    <t>Views from the Inside. Czech Underground Literature and Culture (1948-1989) : Manifestos - Testimonies - Documents</t>
  </si>
  <si>
    <t>Machovec, Martin (ed. )</t>
  </si>
  <si>
    <t>N6831 .V549 2018</t>
  </si>
  <si>
    <t>709.437</t>
  </si>
  <si>
    <t>Art, Czech-20th century. ; Underground literature-Czech Republic. ; Underground music-Czech Republic. ; Underground movements in art.</t>
  </si>
  <si>
    <t>Filosofie en Noir</t>
  </si>
  <si>
    <t>Petříček, Miroslav</t>
  </si>
  <si>
    <t>B829.5 .P484 2018</t>
  </si>
  <si>
    <t>142.7</t>
  </si>
  <si>
    <t>Phenomenology.</t>
  </si>
  <si>
    <t>B780.M3 .K685 2018</t>
  </si>
  <si>
    <t>128.09</t>
  </si>
  <si>
    <t>Philosophical anthropology-History. ; Power (Social sciences)-Philosophy.</t>
  </si>
  <si>
    <t>Znetvořená Demokracie : Mínění, Pravda a Lid</t>
  </si>
  <si>
    <t>Politeia Ser.</t>
  </si>
  <si>
    <t>Urbinati, Nadia</t>
  </si>
  <si>
    <t>JC421 .U735 2018</t>
  </si>
  <si>
    <t>320.9049</t>
  </si>
  <si>
    <t>Democracy-Public opinion.</t>
  </si>
  <si>
    <t>Society for the Prevention of Cruelty to Animals : A Humorous - Insofar As That Is Possible - Novella from the Ghetto</t>
  </si>
  <si>
    <t>Pick, Jiří Robert</t>
  </si>
  <si>
    <t>Co Drží Společnost Pohromadě?</t>
  </si>
  <si>
    <t>Německý, Marek</t>
  </si>
  <si>
    <t>HM22.U6 .N643 2015</t>
  </si>
  <si>
    <t>301.0924</t>
  </si>
  <si>
    <t>Münch, Richard,-1945- ; Parsons, Talcott,-1902-1979. ; Alexander, Jeffrey C.,-1947- ; Social systems. ; Communities. ; Social conflict.</t>
  </si>
  <si>
    <t>Studies of Homeric Greece</t>
  </si>
  <si>
    <t>Bouzek, Jan</t>
  </si>
  <si>
    <t>Literature; History</t>
  </si>
  <si>
    <t>PA4037 .B689 2018</t>
  </si>
  <si>
    <t>938.01</t>
  </si>
  <si>
    <t>Civilization, Homeric.</t>
  </si>
  <si>
    <t>Geopolitika Ropy</t>
  </si>
  <si>
    <t>Odintsov, Nikita</t>
  </si>
  <si>
    <t>HD9560.6 .O356 2018</t>
  </si>
  <si>
    <t>338.2728</t>
  </si>
  <si>
    <t>Petroleum industry and trade-Political aspects. ; Petroleum industry and trade-Government policy-Middle East. ; Petroleum industry and trade-Government policy-United States.</t>
  </si>
  <si>
    <t>Francouzská Literatura V českých Překladech Po Roce 1989: 25 Let Bez Cenzury</t>
  </si>
  <si>
    <t>Sotolová, Jovanka</t>
  </si>
  <si>
    <t>PQ226 .S686 2018</t>
  </si>
  <si>
    <t>French literature-Translations into Czech-History and criticism. ; French literature-Censorship. ; French literature-Censorship-Czech Republic. ; Translations-Publishing-Czech Republic. ; Publishers and publishing-Czech Republic.</t>
  </si>
  <si>
    <t>Asedios Al Caimán Letrado: Literatura y Poder en la Revolución Cubana</t>
  </si>
  <si>
    <t>Gallardo;Saborido, Emilio J.</t>
  </si>
  <si>
    <t>PQ7383 .A843 2018</t>
  </si>
  <si>
    <t>860.997291</t>
  </si>
  <si>
    <t>Cuban literature-20th century.</t>
  </si>
  <si>
    <t>Pražská Skola V Korespondenci : Výbor Domácí a Zahraniční Korespondence Představitelů Pražského Lingvistického Kroužku</t>
  </si>
  <si>
    <t>Havránková, Marie;Petkevič, Vladimír</t>
  </si>
  <si>
    <t>P147 .P739 2014</t>
  </si>
  <si>
    <t>410.18</t>
  </si>
  <si>
    <t>Structural linguistics. ; Functionalism (Linguistics)</t>
  </si>
  <si>
    <t>Tematický česko-Anglický a Anglicko-český Soudnělékařský Slovník</t>
  </si>
  <si>
    <t>Beran, Michal;Dohnalová, Petra;Neureutterová, Klára</t>
  </si>
  <si>
    <t>PG4640 .B473 2018</t>
  </si>
  <si>
    <t>491.86321</t>
  </si>
  <si>
    <t>Czech language-Dictionaries-English. ; Forensic sciences-Dictionaries-Czech Republic. ; English language-Dictionaries-Czech Republic.</t>
  </si>
  <si>
    <t>Věda a Politika : Německé Společenskovědní ústavy V Zahraničí (1880-2010)</t>
  </si>
  <si>
    <t>2013-06-01</t>
  </si>
  <si>
    <t>Pesek, Jiří;Filipová, Lucie A. kol.</t>
  </si>
  <si>
    <t>Geography/Travel; History</t>
  </si>
  <si>
    <t>D13.5.G3 .P474 2013</t>
  </si>
  <si>
    <t>907.2043</t>
  </si>
  <si>
    <t>Historiography-Germany. ; Associations, institutions, etc.-Germany. ; Humanities-Germany. ; Social sciences-Germany.</t>
  </si>
  <si>
    <t>Consumer Lending in Theory and Practice</t>
  </si>
  <si>
    <t>2018-08-09</t>
  </si>
  <si>
    <t>HG3755 .T475 2015</t>
  </si>
  <si>
    <t>332.743</t>
  </si>
  <si>
    <t>Consumer credit.</t>
  </si>
  <si>
    <t>Diagnostika a léčba Osteoporózy a Dalsích Onemocnění Skeletu</t>
  </si>
  <si>
    <t>Džupa, Valér;Jensovský, Jiří (eds. )</t>
  </si>
  <si>
    <t>RC931.O73 .D534 2018</t>
  </si>
  <si>
    <t>616.716</t>
  </si>
  <si>
    <t>Osteoporosis-Treatment.</t>
  </si>
  <si>
    <t>Mezi Vzděláním a Propagandou. Francouzský Institut V Praze 1920-1951</t>
  </si>
  <si>
    <t>2009-10-01</t>
  </si>
  <si>
    <t>DB200.5 .H555 2009</t>
  </si>
  <si>
    <t>943.7043</t>
  </si>
  <si>
    <t>Czechoslovakia-Intellectual life.</t>
  </si>
  <si>
    <t>Metabolismus léčiv a Jiných Xenobiotik</t>
  </si>
  <si>
    <t>Skálová, Lenka A. kol.</t>
  </si>
  <si>
    <t>RM301.55 .S556 2017</t>
  </si>
  <si>
    <t>615.7</t>
  </si>
  <si>
    <t>Drugs-Metabolism.</t>
  </si>
  <si>
    <t>Politické Strany</t>
  </si>
  <si>
    <t>Duverger, Maurice</t>
  </si>
  <si>
    <t>JF2051 .D884 2016</t>
  </si>
  <si>
    <t>324.2</t>
  </si>
  <si>
    <t>Political parties.</t>
  </si>
  <si>
    <t>Las Relaciones Entre Europa Cenral y América Latina. Contextos Históricos</t>
  </si>
  <si>
    <t>2018-08-12</t>
  </si>
  <si>
    <t>Opatrný, Josef (ed. )</t>
  </si>
  <si>
    <t>F1415 .O638 2017</t>
  </si>
  <si>
    <t>303.4828043</t>
  </si>
  <si>
    <t>Diplomatic relations. ; Latin America-Foreign relations-Europe-Congresses.</t>
  </si>
  <si>
    <t>Z dějin české Každodennosti. Život V 19. Století</t>
  </si>
  <si>
    <t>Lenderová, Milena A. kol.</t>
  </si>
  <si>
    <t>DB2244 .L463 2017</t>
  </si>
  <si>
    <t>Czech Republic-Social life and customs.</t>
  </si>
  <si>
    <t>Ethics, Life and Institutions. an Attempt at Practical Philosophy</t>
  </si>
  <si>
    <t>Sokol, Jan;Cairns, Neil;Pauzerová, Markéta</t>
  </si>
  <si>
    <t>BJ1012 .S656 2016</t>
  </si>
  <si>
    <t>Ethics. ; Philosophy.</t>
  </si>
  <si>
    <t>Vlastní Bůh : Mírotvorný a Násilný Potenciál Náboženství</t>
  </si>
  <si>
    <t>2018-10-31</t>
  </si>
  <si>
    <t>Limes Ser.</t>
  </si>
  <si>
    <t>Beck, Ulrich</t>
  </si>
  <si>
    <t>BL60 .B435 2018</t>
  </si>
  <si>
    <t>2018-08-01</t>
  </si>
  <si>
    <t>Málek, Filip;Málek, Ivan</t>
  </si>
  <si>
    <t>RC685.C53 .M354 2018</t>
  </si>
  <si>
    <t>Heart failure-Diagnosis. ; Heart failure-Treatment.</t>
  </si>
  <si>
    <t>Diskursivní Teorie Liberální Demokracie</t>
  </si>
  <si>
    <t>Habermas, Jürgen</t>
  </si>
  <si>
    <t>K3171 .H334 2018</t>
  </si>
  <si>
    <t>Rule of law-History.</t>
  </si>
  <si>
    <t>Morální Základy Politiky</t>
  </si>
  <si>
    <t>Shapiro, Ian</t>
  </si>
  <si>
    <t>B802 .S537 2018</t>
  </si>
  <si>
    <t>190.9033</t>
  </si>
  <si>
    <t>Enlightenment. ; Political culture.</t>
  </si>
  <si>
    <t>2018-07-01</t>
  </si>
  <si>
    <t>Jansa, Petr A. kol.</t>
  </si>
  <si>
    <t>GV288.C9 .J367 2018</t>
  </si>
  <si>
    <t>796.09437</t>
  </si>
  <si>
    <t>Physical education and training-Czechoslovakia. ; Sports-Czechoslovakia.</t>
  </si>
  <si>
    <t>Drama Dirigenta : Jaroslav Krombholc V Osidlech Doby</t>
  </si>
  <si>
    <t>2018-06-01</t>
  </si>
  <si>
    <t>Kučera, Martin</t>
  </si>
  <si>
    <t>ML402 .K834 2018</t>
  </si>
  <si>
    <t>785.0922</t>
  </si>
  <si>
    <t>Conductors (Music)-Czech Republic-Biography.</t>
  </si>
  <si>
    <t>RB25 .S557 2018</t>
  </si>
  <si>
    <t>Histology, Pathological.</t>
  </si>
  <si>
    <t>Lékařská Histologie I. Cytologie a Obecná Histologie</t>
  </si>
  <si>
    <t>2018-09-01</t>
  </si>
  <si>
    <t>Vajner, Luděk;Uhlík, Jiří</t>
  </si>
  <si>
    <t>RC65 .V356 2018</t>
  </si>
  <si>
    <t>616.0751</t>
  </si>
  <si>
    <t>Medical history taking.</t>
  </si>
  <si>
    <t>Rizikové Chování Ve Sportu dětí a Mládeže</t>
  </si>
  <si>
    <t>Slepička, Pavel;Slepičková, Irena;Mudrák, Jiří</t>
  </si>
  <si>
    <t>Hledání Dějin : O české Státnosti a Identitě</t>
  </si>
  <si>
    <t>Hvížďala, Karel;Přibáň, Jiří</t>
  </si>
  <si>
    <t>DB215 .H859 2018</t>
  </si>
  <si>
    <t>Collective memory-Czechoslovakia. ; Czechoslovakia-History.</t>
  </si>
  <si>
    <t>Člověk V Síleném dění Světa : Filosofie Gillesa Deleuze</t>
  </si>
  <si>
    <t>Prásek, Petr</t>
  </si>
  <si>
    <t>B2430.D454 .P737 2018</t>
  </si>
  <si>
    <t>Deleuze, Gilles,-1925-1995. ; Philosophy, French-20th century-History and criticism.</t>
  </si>
  <si>
    <t>Sociální lékařství a Veřejné Zdravotnictví Pro Studenty Zubního Lékařství</t>
  </si>
  <si>
    <t>Čeledová, Libuse A. kol.</t>
  </si>
  <si>
    <t>HG9383 .C454 2018</t>
  </si>
  <si>
    <t>368.382</t>
  </si>
  <si>
    <t>Health insurance.</t>
  </si>
  <si>
    <t>Vybrané Kapitoly Z Ruského Myslení 20. Století : N. O. Losskij, I. A. Iljin, S. I. Gessen, L. N. Gumiljov</t>
  </si>
  <si>
    <t>2018-10-01</t>
  </si>
  <si>
    <t>2018-11-28</t>
  </si>
  <si>
    <t>Nykl, Hanus (ed. )</t>
  </si>
  <si>
    <t>B4231 .V937 2018</t>
  </si>
  <si>
    <t>Philosophy, Russian-20th century.</t>
  </si>
  <si>
    <t>Poezie Ve Dvojím Ohni : Transnacionalismus a Studená Válka</t>
  </si>
  <si>
    <t>PN1271 .Q56 2018</t>
  </si>
  <si>
    <t>809.104</t>
  </si>
  <si>
    <t>Poetry, Modern-20th century-History and criticism.</t>
  </si>
  <si>
    <t>Zdraví - Kultura - Společnost</t>
  </si>
  <si>
    <t>RA418 .K759 2018</t>
  </si>
  <si>
    <t>Health-Social aspects.</t>
  </si>
  <si>
    <t>Na Cestě K Porozumění Orientu a Africe : Vybrané Texty Z Let 1964-2016</t>
  </si>
  <si>
    <t>Kropáček, Lubos</t>
  </si>
  <si>
    <t>BP172 .K767 2018</t>
  </si>
  <si>
    <t>261.27</t>
  </si>
  <si>
    <t>Christianity and other religions-Islam. ; Islam-Relations-Christianity.</t>
  </si>
  <si>
    <t>Modality in Spanish and Combinations of Modal Meanings</t>
  </si>
  <si>
    <t>Kratochvílová, Dana</t>
  </si>
  <si>
    <t>Masaryk Iritující a Fascinující</t>
  </si>
  <si>
    <t>Pospísil, Ctirad V.</t>
  </si>
  <si>
    <t>DB2198.7 .P677 2018</t>
  </si>
  <si>
    <t>327.430437</t>
  </si>
  <si>
    <t>Czechoslovakia-Politics and government-1918-1938.</t>
  </si>
  <si>
    <t>Od Střízlíka Přes člověka K Vorvaňovi : Mozaika Vzpomínek Biologa, Anatoma, Vysokoskolského Učitele</t>
  </si>
  <si>
    <t>Klíma, Milan</t>
  </si>
  <si>
    <t>Science; Science: Biology/Natural History; Science: General</t>
  </si>
  <si>
    <t>QH149 .K556 2018</t>
  </si>
  <si>
    <t>508.431</t>
  </si>
  <si>
    <t>Natural history-Germany.</t>
  </si>
  <si>
    <t>Mýtus Nekonečno</t>
  </si>
  <si>
    <t>Zamarovský, Peter</t>
  </si>
  <si>
    <t>QC173.59.S65 .Z363 2018</t>
  </si>
  <si>
    <t>530.11072</t>
  </si>
  <si>
    <t>Space and time-Research.</t>
  </si>
  <si>
    <t>Caribe Hispano y Europa: Siglos XIX y XX</t>
  </si>
  <si>
    <t>2018-12-21</t>
  </si>
  <si>
    <t>JV7321 .C375 2018</t>
  </si>
  <si>
    <t>304.809729</t>
  </si>
  <si>
    <t>Caribbean Area-Emigration and immigration.</t>
  </si>
  <si>
    <t>Průkopníci a Jejich Odpůrci : Světová Katolická Teologie 1871-1910 a Evoluční Vznik-Stvoření člověka</t>
  </si>
  <si>
    <t>Teologie Ser.</t>
  </si>
  <si>
    <t>BT75.2 .P677 2018</t>
  </si>
  <si>
    <t>Historicko-Sociologické Reflexe</t>
  </si>
  <si>
    <t>2018-11-01</t>
  </si>
  <si>
    <t>HM19 .S837 2018</t>
  </si>
  <si>
    <t>301.09</t>
  </si>
  <si>
    <t>Sociology-History.</t>
  </si>
  <si>
    <t>Dějiny českých Zemí</t>
  </si>
  <si>
    <t>Pánek, Jaroslav;Tůma, Oldřich A. kol.</t>
  </si>
  <si>
    <t>DB2063 .P364 2018</t>
  </si>
  <si>
    <t>Czech Republic-History.</t>
  </si>
  <si>
    <t>Tréma U Hudebníků a Její Prevence Ve Vzdělávacím Systému</t>
  </si>
  <si>
    <t>Stevanović, Ena</t>
  </si>
  <si>
    <t>ML3820 .S748 2018</t>
  </si>
  <si>
    <t>781.1</t>
  </si>
  <si>
    <t>Music-Physiological aspects. ; Musicians-Health and hygiene.</t>
  </si>
  <si>
    <t>Bezdomovectví Ve Středním Věku : Příčiny, Souvislosti a Perspektivy</t>
  </si>
  <si>
    <t>Vágnerová, Marie;Marek, Jakub;Csémy, Ladislav</t>
  </si>
  <si>
    <t>HV4493 .V346 2018</t>
  </si>
  <si>
    <t>362.5</t>
  </si>
  <si>
    <t>Homelessness. ; Homeless persons.</t>
  </si>
  <si>
    <t>Národ a dějiny Jako Sociologický Problém : Výbor Textů</t>
  </si>
  <si>
    <t>Masaryk, Tomás G.</t>
  </si>
  <si>
    <t>HM477.C94 .M373 2018</t>
  </si>
  <si>
    <t>301.094</t>
  </si>
  <si>
    <t>Sociology-Czech Republic-History.</t>
  </si>
  <si>
    <t>Žánry a Průniky Literatury Faktu</t>
  </si>
  <si>
    <t>2018-12-01</t>
  </si>
  <si>
    <t>2019-01-26</t>
  </si>
  <si>
    <t>Halada, Jan (ed. )</t>
  </si>
  <si>
    <t>PG5003 .Z67 2018</t>
  </si>
  <si>
    <t>Trénink Mládeže V Bězích Na Střední a Dlouhé Tratě</t>
  </si>
  <si>
    <t>Bahenský, Petr;Bunc, Václav</t>
  </si>
  <si>
    <t>GV1065 .B344 2018</t>
  </si>
  <si>
    <t>796.425</t>
  </si>
  <si>
    <t>Long-distance running-Training.</t>
  </si>
  <si>
    <t>Statuta et Acta Rectorum Universitatis Carolinae Pragensis : 1360-1614</t>
  </si>
  <si>
    <t>Smahel, Frantisék;Silagi, Gabriel</t>
  </si>
  <si>
    <t>LF1463 .S738 2018</t>
  </si>
  <si>
    <t>378.43712</t>
  </si>
  <si>
    <t>Univerzita Karlova-History. ; Universities and colleges-Czech Republic.</t>
  </si>
  <si>
    <t>Rilkovy ,,Sonette an Orpheus : Interpretace (a Překlad)</t>
  </si>
  <si>
    <t>PT2635.I65 .K84 2018</t>
  </si>
  <si>
    <t>831.912</t>
  </si>
  <si>
    <t>Rilke, Rainer Maria,-1875-1926.-Sonette an Orpheus. ; German poetry-20th century.</t>
  </si>
  <si>
    <t>Kritický Racionalismus H. Alberta a K. Poppera</t>
  </si>
  <si>
    <t>B3199.A394 .P358 2018</t>
  </si>
  <si>
    <t>231.740924</t>
  </si>
  <si>
    <t>Albert, Hans,-1921- ; Popper, Karl R.-(Karl Raimund),-1902-1994. ; Rationalism.</t>
  </si>
  <si>
    <t>Rostliny Způsobující Otravy</t>
  </si>
  <si>
    <t>Jahodář, Luděk</t>
  </si>
  <si>
    <t>QK100.A1 .J346 2018</t>
  </si>
  <si>
    <t>581.6</t>
  </si>
  <si>
    <t>Poisonous plants.</t>
  </si>
  <si>
    <t>Bylo to Na Věčné časy, Dokud to Neskončilo : Poslední Sovětská Generace</t>
  </si>
  <si>
    <t>Jurčak, Alexej</t>
  </si>
  <si>
    <t>DK32 .J87 2018</t>
  </si>
  <si>
    <t>947.084</t>
  </si>
  <si>
    <t>Soviet Union-Civilization. ; Soviet Union-Intellectual life. ; Socialism and culture-Soviet Union.</t>
  </si>
  <si>
    <t>Rozmluvy S Antonínem Svehlou a o Svehlovi : Vzpomínky Agrárního Diplomata Karla Mečíře</t>
  </si>
  <si>
    <t>Kubů, Eduard;Sousa, Jiří (eds. )</t>
  </si>
  <si>
    <t>JX1662 .R696 2018</t>
  </si>
  <si>
    <t>327.20922</t>
  </si>
  <si>
    <t>Diplomats-Czech Republic. ; Mečcír, Karel,-1876-1947. ; Švehla, Antonín,-1873-1933.</t>
  </si>
  <si>
    <t>A History of the Czech Lands</t>
  </si>
  <si>
    <t>2019-02-28</t>
  </si>
  <si>
    <t>Pánek, Jaroslav;Tůma, Oldřich et al.</t>
  </si>
  <si>
    <t>DB2063 .P645 2018</t>
  </si>
  <si>
    <t>943.70240222</t>
  </si>
  <si>
    <t>Organizace Znalostí - Klíčová Témata</t>
  </si>
  <si>
    <t>Kučerová, Helena</t>
  </si>
  <si>
    <t>R858 .K834 2017</t>
  </si>
  <si>
    <t>Information systems.</t>
  </si>
  <si>
    <t>Anatomie Pro Nelékařské Zdravotnické Obory</t>
  </si>
  <si>
    <t>Kachlík, David (ed. )</t>
  </si>
  <si>
    <t>QM23.2 .K334 2018</t>
  </si>
  <si>
    <t>Anatomy.</t>
  </si>
  <si>
    <t>Kvalita Fyzikálního Vzdělávání V Rukou UčItele</t>
  </si>
  <si>
    <t>2019-01-01</t>
  </si>
  <si>
    <t>Žák, Vojtěch</t>
  </si>
  <si>
    <t>GV341 .Z35 2018</t>
  </si>
  <si>
    <t>Jirotka, Zdeněk</t>
  </si>
  <si>
    <t>PG5023 .J576 2018</t>
  </si>
  <si>
    <t>891.8609005</t>
  </si>
  <si>
    <t>Czech literature-20th century.</t>
  </si>
  <si>
    <t>Polish</t>
  </si>
  <si>
    <t>Česko-Maďarské Ob(z)ory: Kapitoly Z dějin česko-maďarských Univerzitních Vztahů</t>
  </si>
  <si>
    <t>Januska, Jiří (ed. )</t>
  </si>
  <si>
    <t>LB2321 .C475 2018</t>
  </si>
  <si>
    <t>Náboženství Mayů</t>
  </si>
  <si>
    <t>Kostićová, Zuzana Marie</t>
  </si>
  <si>
    <t>BL41 .K678 2018</t>
  </si>
  <si>
    <t>200.71</t>
  </si>
  <si>
    <t>Religion-Methodology.</t>
  </si>
  <si>
    <t>Metodologie, Metody a Metodika Vědeckého Výzkumu</t>
  </si>
  <si>
    <t>2019-03-01</t>
  </si>
  <si>
    <t>2019-04-19</t>
  </si>
  <si>
    <t>Science; General Works/Reference</t>
  </si>
  <si>
    <t>Q180.55.M4 .O247 2019</t>
  </si>
  <si>
    <t>001.42</t>
  </si>
  <si>
    <t>Research-Methodology.</t>
  </si>
  <si>
    <t>Challenges of Mass Methanol Poisoning Outbreaks : Diagnosis, Treatment and Prognosis in Long Term Health Sequelae</t>
  </si>
  <si>
    <t>2019-02-01</t>
  </si>
  <si>
    <t>Zacharov, Sergej</t>
  </si>
  <si>
    <t>Health; Social Science; Medicine</t>
  </si>
  <si>
    <t>RA1242.W8 .Z334 2019</t>
  </si>
  <si>
    <t>615.902</t>
  </si>
  <si>
    <t>Methanol-Toxicology. ; Methanol-Health aspects.</t>
  </si>
  <si>
    <t>Řízení Sociálních Procesů V České Republice</t>
  </si>
  <si>
    <t>Sámalová, Kateřina;Tomes, Igor</t>
  </si>
  <si>
    <t>HN420.3.A8 .R594 2018</t>
  </si>
  <si>
    <t>306.094371</t>
  </si>
  <si>
    <t>Czech Republic-Social policy. ; Public welfare-Czech Republic. ; Social service-Czech Republic.</t>
  </si>
  <si>
    <t>Doktorky Matematiky Na Univerzitách V Praze 1900-1945</t>
  </si>
  <si>
    <t>QA27.5 .B438 2019</t>
  </si>
  <si>
    <t>510.82</t>
  </si>
  <si>
    <t>Women mathematicians.</t>
  </si>
  <si>
    <t>Os Verbos Modais Poder e Dever: Contributos para Uma análise Jurídico-Linguística</t>
  </si>
  <si>
    <t>K213 .R366 2019</t>
  </si>
  <si>
    <t>340.14</t>
  </si>
  <si>
    <t>Law-Language.</t>
  </si>
  <si>
    <t>Čtvrtá Revoluce : Jak Infosféra Mění Tvář Lidské Reality</t>
  </si>
  <si>
    <t>Studia Nových Médií Ser.</t>
  </si>
  <si>
    <t>Floridi, Luciano</t>
  </si>
  <si>
    <t>HM851 .F567 2019</t>
  </si>
  <si>
    <t>Information society. ; Internet-Social aspects. ; Information technology-Social aspects.</t>
  </si>
  <si>
    <t>Jan Zábrana: Básník, Překladatel, čtenář</t>
  </si>
  <si>
    <t>Kalivodová, Eva;Eliás, Petr</t>
  </si>
  <si>
    <t>PG5025 .J36 2019</t>
  </si>
  <si>
    <t>Czech poetry.</t>
  </si>
  <si>
    <t>Povinná Sociální Solidarita</t>
  </si>
  <si>
    <t>Tomes, Igor</t>
  </si>
  <si>
    <t>HN18 .T664 2018</t>
  </si>
  <si>
    <t>361.61</t>
  </si>
  <si>
    <t>Social policy. ; Social security. ; Welfare state.</t>
  </si>
  <si>
    <t>Heterocosmica III. Fikční Světy Protomoderní české Prózy</t>
  </si>
  <si>
    <t>PG5010.4 .D654 2018</t>
  </si>
  <si>
    <t>Czech prose literature-20th century-History and criticism. ; Czech prose literature-21st century-History and criticism. ; Postmodernism (Literature)-Czech Republic.</t>
  </si>
  <si>
    <t>Základy Embryologie</t>
  </si>
  <si>
    <t>QM601 .S557 2019</t>
  </si>
  <si>
    <t>612.64</t>
  </si>
  <si>
    <t>Embryology, Human-Textbooks.</t>
  </si>
  <si>
    <t>Svoboda a Neklid Zvířecího života</t>
  </si>
  <si>
    <t>Myslení Současnosti Ser.</t>
  </si>
  <si>
    <t>Burgatová, Florence</t>
  </si>
  <si>
    <t>B105.A55 .B874 2018</t>
  </si>
  <si>
    <t>179.3</t>
  </si>
  <si>
    <t>Animals (Philosophy) ; Philosophy, Comparative.</t>
  </si>
  <si>
    <t>Svět Dona Quijota</t>
  </si>
  <si>
    <t>Maresová, Jaroslava;Vrátilová, Barbora;Sánchez Fernández, Juan A.</t>
  </si>
  <si>
    <t>PQ6352 .S948 2018</t>
  </si>
  <si>
    <t>863.3</t>
  </si>
  <si>
    <t>Cervantes Saavedra, Miguel de,-1547-1616.-Don Quixote. ; Cervantes Saavedra, Miguel de,-1547-1616-Criticism and interpretation. ; Spanish fiction-17th century-History and criticism.</t>
  </si>
  <si>
    <t>Kapitoly o čestině Jako Jazyku Nemateřském</t>
  </si>
  <si>
    <t>PG4065 .H735 2019</t>
  </si>
  <si>
    <t>Czech language-Study and teaching. ; Czech language-Study and teaching-Foreign speakers.</t>
  </si>
  <si>
    <t>Computerized Adaptive Testing in Kinanthropology: Monte Carlo Simulations Using the Physical Self-Description Questionnaire</t>
  </si>
  <si>
    <t>Komarc, Martin</t>
  </si>
  <si>
    <t>LB3060.32.C65 .K663 2019</t>
  </si>
  <si>
    <t>371.260285</t>
  </si>
  <si>
    <t>Computer adaptive testing. ; Anthropology. ; Item response theory.</t>
  </si>
  <si>
    <t>České Důchody</t>
  </si>
  <si>
    <t>Potůček, Martin</t>
  </si>
  <si>
    <t>HD7091 .P688 2018</t>
  </si>
  <si>
    <t>331.252</t>
  </si>
  <si>
    <t>Pensions.</t>
  </si>
  <si>
    <t>Terra Sigillata Z Čech V Kontextu Evropského Barbarika</t>
  </si>
  <si>
    <t>Halama, Jakub</t>
  </si>
  <si>
    <t>NK3850 .H353 2018</t>
  </si>
  <si>
    <t>738.0937</t>
  </si>
  <si>
    <t>Pottery, Roman. ; Excavations (Archaeology)-Czech Republic. ; Czech Republic-Antiquities, Roman.</t>
  </si>
  <si>
    <t>Vývoj Lužickosrbského časování a Slovotvorby</t>
  </si>
  <si>
    <t>Bígl, Richard</t>
  </si>
  <si>
    <t>PG5636 .B545 2019</t>
  </si>
  <si>
    <t>306.44943151</t>
  </si>
  <si>
    <t>Sorbian languages.</t>
  </si>
  <si>
    <t>Německo-český a česko-Německý Sportovní Slovník</t>
  </si>
  <si>
    <t>Pokorná, Eva</t>
  </si>
  <si>
    <t>GV567 .P656 2018</t>
  </si>
  <si>
    <t>796.03</t>
  </si>
  <si>
    <t>Sports-Dictionaries-German. ; German language-Dictionaries-Czech Republic. ; Sports-Dictionaries-Czech Republic.</t>
  </si>
  <si>
    <t>Právní Systémy dálného Východu II</t>
  </si>
  <si>
    <t>Tomásek, Michal</t>
  </si>
  <si>
    <t>KNC79 .T663 2019</t>
  </si>
  <si>
    <t>349.5</t>
  </si>
  <si>
    <t>Law-East Asia. ; Law-Mongolia. ; Law-Vietnam.</t>
  </si>
  <si>
    <t>Современная дидактика русского языка как : Языковые средства</t>
  </si>
  <si>
    <t>Rozboudová, Lenka;Konečný, Jakub</t>
  </si>
  <si>
    <t>Russian</t>
  </si>
  <si>
    <t>Základy Radiologie a Zobrazovacích Metod</t>
  </si>
  <si>
    <t>Malíková, Hana</t>
  </si>
  <si>
    <t>RC78.15 .M355 2019</t>
  </si>
  <si>
    <t>616.0757076</t>
  </si>
  <si>
    <t>Radiology.</t>
  </si>
  <si>
    <t>RB111 .V658 2018</t>
  </si>
  <si>
    <t>Pathology.</t>
  </si>
  <si>
    <t>Turistická Odysea : Krajinou Soudobých dějin Cestování a Cestovního Ruchu V Československu V Letech 1945 Až 1989</t>
  </si>
  <si>
    <t>Orální Historie a Soudobé Dějiny Ser.</t>
  </si>
  <si>
    <t>Mücke, Pavel;Krátká, Lenka</t>
  </si>
  <si>
    <t>Tourism/Hospitality; Economics</t>
  </si>
  <si>
    <t>G155.C97 .M835 2018</t>
  </si>
  <si>
    <t>338.4791437044</t>
  </si>
  <si>
    <t>Tourism-Czechoslovakia. ; Travel-History.</t>
  </si>
  <si>
    <t>Outlines of Embryology</t>
  </si>
  <si>
    <t>QM601 .S575 2019</t>
  </si>
  <si>
    <t>Embryology, Human. ; Nervous system. ; Cardiovascular system.</t>
  </si>
  <si>
    <t>Změny Nálad Při Tréninku V Hypoxii</t>
  </si>
  <si>
    <t>Pernica, Jan;Harsa, Pavel;Suchý, Jiří</t>
  </si>
  <si>
    <t>GV1061.5 .P476 2019</t>
  </si>
  <si>
    <t>796.42</t>
  </si>
  <si>
    <t>Running-Training.</t>
  </si>
  <si>
    <t>Making the Most of Tomorrow : A Laboratory of Socialist Modernity in Czechoslovakia</t>
  </si>
  <si>
    <t>Edice Václava Havla Ser.</t>
  </si>
  <si>
    <t>DB2650.M59 .S687 2019</t>
  </si>
  <si>
    <t>City planning-Czechoslovakia. ; Socialism-Czechoslovakia. ; Most (Czech Republic)-History-20th century.</t>
  </si>
  <si>
    <t>Sociální Kliniky : Z dějin Sociální Práce a Sociálního Skolství</t>
  </si>
  <si>
    <t>Krakesová, Marie;Kodymová, Pavla;Brnula, Peter</t>
  </si>
  <si>
    <t>HV40 .K735 2018</t>
  </si>
  <si>
    <t>361.32</t>
  </si>
  <si>
    <t>Social service.</t>
  </si>
  <si>
    <t>Syntactic and FSP Aspects of the Existential Construction in Norwegian</t>
  </si>
  <si>
    <t>2019-04-01</t>
  </si>
  <si>
    <t>2019-05-24</t>
  </si>
  <si>
    <t>Studia Philologica Pragensia Ser.</t>
  </si>
  <si>
    <t>Dubec, Pavel</t>
  </si>
  <si>
    <t>PD2671 .D683 2019</t>
  </si>
  <si>
    <t>439.825</t>
  </si>
  <si>
    <t>Norwegian language-Syntax. ; Norwegian language-Topic and comment. ; Norwegian language-Existential constructions.</t>
  </si>
  <si>
    <t>České Probuzení Z Amerického Snu : Proč a Jak Se V České Republice Zabývat Spojenými Státy</t>
  </si>
  <si>
    <t>Kozák, Krystof</t>
  </si>
  <si>
    <t>E183.7 .K693 2019</t>
  </si>
  <si>
    <t>327.73</t>
  </si>
  <si>
    <t>United States-Foreign relations.</t>
  </si>
  <si>
    <t>Pragmatika</t>
  </si>
  <si>
    <t>Lingvistika Ser.</t>
  </si>
  <si>
    <t>Huang, Yan</t>
  </si>
  <si>
    <t>P99.4.P72 .H836 2019</t>
  </si>
  <si>
    <t>Pragmatics.</t>
  </si>
  <si>
    <t>Fragments of Lives : Chronicles of the Gulag</t>
  </si>
  <si>
    <t>2019-07-15</t>
  </si>
  <si>
    <t>Václav Havel Ser.</t>
  </si>
  <si>
    <t>Rossi, Jacques</t>
  </si>
  <si>
    <t>HV9712 .R677 2019</t>
  </si>
  <si>
    <t>365.450947</t>
  </si>
  <si>
    <t>Political prisoners-Soviet Union. ; Political persecution-Soviet Union. ; Concentration camps-Soviet Union. ; Soviet Union-History-1925-1953.</t>
  </si>
  <si>
    <t>Interakce Měnové a Fiskální Politiky Před Krizí a Po Ní : Aplikace Modelu BVAR V Podmínkách české Ekonomiky</t>
  </si>
  <si>
    <t>Řežábek, Pavel</t>
  </si>
  <si>
    <t>HG970.3 .R493 2019</t>
  </si>
  <si>
    <t>332.4943705</t>
  </si>
  <si>
    <t>Monetary policy-Czech Republic.</t>
  </si>
  <si>
    <t>Čtvrt Století Střední Evropy : Visegrádské Země V Globálním Příběhu Let 1992-2017</t>
  </si>
  <si>
    <t>2019-05-01</t>
  </si>
  <si>
    <t>2019-06-27</t>
  </si>
  <si>
    <t>DAW1051 .K746 2019</t>
  </si>
  <si>
    <t>940.55</t>
  </si>
  <si>
    <t>Europe, Central-History-1989-</t>
  </si>
  <si>
    <t>The MicroBook : Clinical Microbiology for Medical Students</t>
  </si>
  <si>
    <t>Melter, Oto;Castelhano, Rute</t>
  </si>
  <si>
    <t>Medicine; Science: Biology/Natural History; Science</t>
  </si>
  <si>
    <t>QR46 .M537 2019</t>
  </si>
  <si>
    <t>616.9041</t>
  </si>
  <si>
    <t>Medical microbiology-Handbooks, manuals, etc. ; Diagnostic microbiology-Handbooks, manuals, etc.</t>
  </si>
  <si>
    <t>Amerika Prezidenta Granta</t>
  </si>
  <si>
    <t>E661 .O638 2019</t>
  </si>
  <si>
    <t>973.8</t>
  </si>
  <si>
    <t>United States-History-1865-1898.</t>
  </si>
  <si>
    <t>Samizdat Past and Present</t>
  </si>
  <si>
    <t>2019-07-27</t>
  </si>
  <si>
    <t>Glanc, Tomás</t>
  </si>
  <si>
    <t>PG5003 .S265 2018</t>
  </si>
  <si>
    <t>Czech literature. ; Czech literature-19th century.</t>
  </si>
  <si>
    <t>T. G. Masaryk and the Jewish Question</t>
  </si>
  <si>
    <t>2019-09-15</t>
  </si>
  <si>
    <t>2019-08-03</t>
  </si>
  <si>
    <t>Pojar, Milos</t>
  </si>
  <si>
    <t>DB217.M3 .P653 2019</t>
  </si>
  <si>
    <t>943.7032092</t>
  </si>
  <si>
    <t>Masaryk, T. G. -- (Tomás Garrigue), -- 1850-1937.; Jews -- Czechoslovakia -- History -- 20th century.; Jews -- Czechoslovakia -- Social conditions -- 20th century.; Czechoslovakia -- Politics and government -- 1918-1938.; Czechoslovakia -- Ethnic relations -- History -- 20th century.</t>
  </si>
  <si>
    <t>Na Rozhraních Fenomenologie : Transcendence, Jevení a Zkusenost</t>
  </si>
  <si>
    <t>Janicaud, Dominique</t>
  </si>
  <si>
    <t>B829.5 .J365 2019</t>
  </si>
  <si>
    <t>Dějiny a Sebetvorba : Jacob Burckchardt Jako Nietzschův Modelový čtenář</t>
  </si>
  <si>
    <t>Chavalka, Jakub</t>
  </si>
  <si>
    <t>B3318.C8 .C438 2019</t>
  </si>
  <si>
    <t>Nietzsche, Friedrich Wilhelm,-1844-1900.</t>
  </si>
  <si>
    <t>Social Medicine : An Introduction to New Public Health</t>
  </si>
  <si>
    <t>Čeledová, Libuse;Holčík, Jan</t>
  </si>
  <si>
    <t>RA418 .C454 2019</t>
  </si>
  <si>
    <t>Zátěžová Funkční Diagnostika Ve Sportu : Východiska, Aplikace a Interpretace</t>
  </si>
  <si>
    <t>Heller, Jan</t>
  </si>
  <si>
    <t>Science: Anatomy/Physiology; Science; Medicine</t>
  </si>
  <si>
    <t>RC1235 .H455 2018</t>
  </si>
  <si>
    <t>612.044</t>
  </si>
  <si>
    <t>Sports-Physiological aspects.</t>
  </si>
  <si>
    <t>Kdo Vládne Světu?</t>
  </si>
  <si>
    <t>Chomsky, Noam</t>
  </si>
  <si>
    <t>D443 .C466 2019</t>
  </si>
  <si>
    <t>World politics-20th century.</t>
  </si>
  <si>
    <t>Skolní Vzdělávání Ve Svédsku</t>
  </si>
  <si>
    <t>2012-03-01</t>
  </si>
  <si>
    <t>Ježková, Věra;Dvořák, Dominik;Greger, David</t>
  </si>
  <si>
    <t>LA902 .J495 2019</t>
  </si>
  <si>
    <t>370.9485</t>
  </si>
  <si>
    <t>Education-Sweden.</t>
  </si>
  <si>
    <t>Temný Kontinent : Evropa Ve 20. Století</t>
  </si>
  <si>
    <t>Mazower, Mark</t>
  </si>
  <si>
    <t>D424 .M396 2019</t>
  </si>
  <si>
    <t>Europe-History-20th century.</t>
  </si>
  <si>
    <t>Devět Z české Hudební Alternativy Osmdesátých Let</t>
  </si>
  <si>
    <t>2019-08-01</t>
  </si>
  <si>
    <t>2019-09-21</t>
  </si>
  <si>
    <t>Jonssonová, Pavla</t>
  </si>
  <si>
    <t>Geografie ,,okrajem : Každodenní časoprostorové Zkusenosti</t>
  </si>
  <si>
    <t>2019-06-01</t>
  </si>
  <si>
    <t>Osman, Robert;Pospísilová, Lucie</t>
  </si>
  <si>
    <t>Vzdělání, Dovednosti a Mobilita : Zaměstnání a Trh Práce V České Republice a Evropských Zemích</t>
  </si>
  <si>
    <t>Anýžová, Petra;Večerník, Jiří</t>
  </si>
  <si>
    <t>Psychiatric Interview First Kit</t>
  </si>
  <si>
    <t>2019-09-26</t>
  </si>
  <si>
    <t>Vevera, Jan;Hudeček, Jiří;Cudlmanová, Simona</t>
  </si>
  <si>
    <t>RC480.7 .V484 2019</t>
  </si>
  <si>
    <t>616.89075</t>
  </si>
  <si>
    <t>Interviewing in psychiatry-Handbooks, manuals, etc.</t>
  </si>
  <si>
    <t>Skolní Vzdělávání Ve Velké Británii</t>
  </si>
  <si>
    <t>2010-07-01</t>
  </si>
  <si>
    <t>Ježková, Věra</t>
  </si>
  <si>
    <t>Normalizační Festival : Socialistické Paradoxy a Postsocialistické Korekce</t>
  </si>
  <si>
    <t>Houda, Přemysl</t>
  </si>
  <si>
    <t>The Shop on Main Street</t>
  </si>
  <si>
    <t>2019-11-15</t>
  </si>
  <si>
    <t>Grosman, Ladislav</t>
  </si>
  <si>
    <t>891.8/6/35</t>
  </si>
  <si>
    <t>Publication Date</t>
  </si>
  <si>
    <t>3 SU - EUR bez DPH</t>
  </si>
  <si>
    <t>1 SU - EUR bez DPH</t>
  </si>
  <si>
    <t>Neobmedzený - EUR bez DPH</t>
  </si>
  <si>
    <t>Neobmedzený - EUR s DPH</t>
  </si>
  <si>
    <t>1 SU - EUR s DPH</t>
  </si>
  <si>
    <t>3 SU - EUR s DPH</t>
  </si>
  <si>
    <t>yes</t>
  </si>
  <si>
    <t>no</t>
  </si>
  <si>
    <t>Ceny v EUR podliehajú zmene výmenného kurzu.</t>
  </si>
  <si>
    <t>Publisher / Imprint</t>
  </si>
  <si>
    <t>E-knihy Karolinum Press na Platforme Ebook Central</t>
  </si>
  <si>
    <t>Údaje spoločné pre všetky e-knihy:</t>
  </si>
  <si>
    <t>platforma Ebook Central</t>
  </si>
  <si>
    <t>ročný servisný poplatok: nie</t>
  </si>
  <si>
    <t>Otázky? Napíšte alebo zavolajte:</t>
  </si>
  <si>
    <t>Albertina icome Bratislava s.r.o.</t>
  </si>
  <si>
    <t>Cukrová 14, 813 39 Bratislava</t>
  </si>
  <si>
    <t>Miriam Suchoňová</t>
  </si>
  <si>
    <r>
      <rPr>
        <b/>
        <sz val="11"/>
        <rFont val="Calibri"/>
        <family val="2"/>
        <charset val="238"/>
        <scheme val="minor"/>
      </rPr>
      <t>spôsob získania:</t>
    </r>
    <r>
      <rPr>
        <sz val="11"/>
        <rFont val="Calibri"/>
        <family val="2"/>
        <charset val="238"/>
        <scheme val="minor"/>
      </rPr>
      <t xml:space="preserve"> trvalý nákup pre uvedený počet súčasne pracujúcich používateľov (SU, simultaneous users)</t>
    </r>
  </si>
  <si>
    <t>mobil: 0903-44 36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</si>
</sst>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14" x14ac:knownFonts="1">
    <font>
      <sz val="10"/>
      <name val="Arial"/>
      <family val="2"/>
      <charset val="238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>
      <alignment wrapText="1"/>
    </xf>
    <xf numFmtId="0" fontId="7" fillId="0" borderId="0">
      <alignment wrapText="1"/>
    </xf>
    <xf numFmtId="0" fontId="9" fillId="0" borderId="0" applyNumberFormat="0" applyFill="0" applyBorder="0" applyAlignment="0" applyProtection="0"/>
    <xf numFmtId="0" fontId="7" fillId="0" borderId="0">
      <alignment vertical="top"/>
    </xf>
    <xf numFmtId="0" fontId="13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12" fillId="0" borderId="0" xfId="4" applyFont="1"/>
    <xf numFmtId="0" fontId="8" fillId="0" borderId="0" xfId="5" applyFont="1" applyAlignment="1"/>
    <xf numFmtId="0" fontId="10" fillId="0" borderId="0" xfId="5" applyFont="1" applyAlignment="1"/>
    <xf numFmtId="0" fontId="11" fillId="0" borderId="0" xfId="0" applyFont="1"/>
    <xf numFmtId="0" fontId="10" fillId="0" borderId="0" xfId="0" applyFont="1"/>
    <xf numFmtId="0" fontId="12" fillId="0" borderId="0" xfId="1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7">
    <cellStyle name="Hypertextový odkaz" xfId="1" builtinId="8"/>
    <cellStyle name="Hypertextový odkaz 2" xfId="4"/>
    <cellStyle name="Normální" xfId="0" builtinId="0"/>
    <cellStyle name="Normální 2" xfId="3"/>
    <cellStyle name="Normální 2 2" xfId="5"/>
    <cellStyle name="Normální 3" xfId="6"/>
    <cellStyle name="Normální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iriam.suchonova@aib.sk?subject=E-knihy%20Karolinum%20Press" TargetMode="External"/><Relationship Id="rId2" Type="http://schemas.openxmlformats.org/officeDocument/2006/relationships/hyperlink" Target="http://www.aib.sk/" TargetMode="External"/><Relationship Id="rId1" Type="http://schemas.openxmlformats.org/officeDocument/2006/relationships/hyperlink" Target="https://www.aib.sk/produkty/2919-proquest-ebook-central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U686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11.5703125" defaultRowHeight="12.75" x14ac:dyDescent="0.2"/>
  <cols>
    <col min="1" max="1" width="9.140625" style="1" customWidth="1"/>
    <col min="2" max="2" width="51" style="1" customWidth="1"/>
    <col min="3" max="4" width="14.140625" style="1" customWidth="1"/>
    <col min="5" max="5" width="10.28515625" style="1" customWidth="1"/>
    <col min="6" max="6" width="9.85546875" style="1" customWidth="1"/>
    <col min="7" max="7" width="8.85546875" style="1" customWidth="1"/>
    <col min="8" max="8" width="6.42578125" style="1" customWidth="1"/>
    <col min="9" max="9" width="9.5703125" style="1" customWidth="1"/>
    <col min="10" max="10" width="26.42578125" style="1" customWidth="1"/>
    <col min="11" max="11" width="26.5703125" style="1" customWidth="1"/>
    <col min="12" max="13" width="10.85546875" style="1" customWidth="1"/>
    <col min="14" max="14" width="43.5703125" style="1" customWidth="1"/>
    <col min="15" max="15" width="9.140625" style="1" customWidth="1"/>
    <col min="16" max="19" width="12" style="1" customWidth="1"/>
    <col min="20" max="21" width="12.5703125" style="1" customWidth="1"/>
    <col min="22" max="22" width="8.5703125" style="1" customWidth="1"/>
    <col min="23" max="1009" width="11.5703125" style="1"/>
  </cols>
  <sheetData>
    <row r="1" spans="1:22" s="3" customFormat="1" ht="38.2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3403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3405</v>
      </c>
      <c r="Q1" s="3" t="s">
        <v>3408</v>
      </c>
      <c r="R1" s="3" t="s">
        <v>3404</v>
      </c>
      <c r="S1" s="3" t="s">
        <v>3409</v>
      </c>
      <c r="T1" s="3" t="s">
        <v>3406</v>
      </c>
      <c r="U1" s="3" t="s">
        <v>3407</v>
      </c>
      <c r="V1" s="3" t="s">
        <v>19</v>
      </c>
    </row>
    <row r="2" spans="1:22" x14ac:dyDescent="0.2">
      <c r="A2" s="1">
        <v>1996703</v>
      </c>
      <c r="B2" s="1" t="s">
        <v>20</v>
      </c>
      <c r="C2" s="1" t="str">
        <f>"9788024622859"</f>
        <v>9788024622859</v>
      </c>
      <c r="D2" s="1" t="str">
        <f>"9788024623061"</f>
        <v>9788024623061</v>
      </c>
      <c r="E2" s="2" t="s">
        <v>22</v>
      </c>
      <c r="F2" s="2" t="s">
        <v>23</v>
      </c>
      <c r="G2" s="1" t="s">
        <v>24</v>
      </c>
      <c r="H2" s="1">
        <v>1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4">
        <v>13.76</v>
      </c>
      <c r="Q2" s="5">
        <f>P2*1.2</f>
        <v>16.512</v>
      </c>
      <c r="R2" s="4">
        <v>17.2</v>
      </c>
      <c r="S2" s="5">
        <f>R2*1.2</f>
        <v>20.639999999999997</v>
      </c>
      <c r="T2" s="4">
        <v>20.64</v>
      </c>
      <c r="U2" s="5">
        <f>T2*1.2</f>
        <v>24.768000000000001</v>
      </c>
      <c r="V2" s="1" t="s">
        <v>31</v>
      </c>
    </row>
    <row r="3" spans="1:22" x14ac:dyDescent="0.2">
      <c r="A3" s="1">
        <v>1996704</v>
      </c>
      <c r="B3" s="1" t="s">
        <v>33</v>
      </c>
      <c r="C3" s="1" t="str">
        <f>"9788024617589"</f>
        <v>9788024617589</v>
      </c>
      <c r="D3" s="1" t="str">
        <f>"9788024623511"</f>
        <v>9788024623511</v>
      </c>
      <c r="E3" s="2" t="s">
        <v>34</v>
      </c>
      <c r="F3" s="2" t="s">
        <v>23</v>
      </c>
      <c r="G3" s="1" t="s">
        <v>24</v>
      </c>
      <c r="H3" s="1">
        <v>1</v>
      </c>
      <c r="J3" s="1" t="s">
        <v>35</v>
      </c>
      <c r="K3" s="1" t="s">
        <v>36</v>
      </c>
      <c r="L3" s="1" t="s">
        <v>37</v>
      </c>
      <c r="M3" s="1">
        <v>813</v>
      </c>
      <c r="N3" s="1" t="s">
        <v>38</v>
      </c>
      <c r="O3" s="1" t="s">
        <v>39</v>
      </c>
      <c r="P3" s="4">
        <v>22.02</v>
      </c>
      <c r="Q3" s="5">
        <f t="shared" ref="Q3:Q66" si="0">P3*1.2</f>
        <v>26.423999999999999</v>
      </c>
      <c r="R3" s="4">
        <v>27.52</v>
      </c>
      <c r="S3" s="5">
        <f t="shared" ref="S3:S66" si="1">R3*1.2</f>
        <v>33.024000000000001</v>
      </c>
      <c r="T3" s="4">
        <v>33.03</v>
      </c>
      <c r="U3" s="5">
        <f t="shared" ref="U3:U66" si="2">T3*1.2</f>
        <v>39.636000000000003</v>
      </c>
      <c r="V3" s="1" t="s">
        <v>31</v>
      </c>
    </row>
    <row r="4" spans="1:22" x14ac:dyDescent="0.2">
      <c r="A4" s="1">
        <v>1996706</v>
      </c>
      <c r="B4" s="1" t="s">
        <v>40</v>
      </c>
      <c r="C4" s="1" t="str">
        <f>"9788024623238"</f>
        <v>9788024623238</v>
      </c>
      <c r="D4" s="1" t="str">
        <f>"9788024623573"</f>
        <v>9788024623573</v>
      </c>
      <c r="E4" s="2" t="s">
        <v>41</v>
      </c>
      <c r="F4" s="2" t="s">
        <v>23</v>
      </c>
      <c r="G4" s="1" t="s">
        <v>24</v>
      </c>
      <c r="H4" s="1">
        <v>1</v>
      </c>
      <c r="J4" s="1" t="s">
        <v>42</v>
      </c>
      <c r="K4" s="1" t="s">
        <v>43</v>
      </c>
      <c r="L4" s="1" t="s">
        <v>44</v>
      </c>
      <c r="M4" s="1" t="s">
        <v>45</v>
      </c>
      <c r="N4" s="1" t="s">
        <v>46</v>
      </c>
      <c r="O4" s="1" t="s">
        <v>39</v>
      </c>
      <c r="P4" s="4">
        <v>13.76</v>
      </c>
      <c r="Q4" s="5">
        <f t="shared" si="0"/>
        <v>16.512</v>
      </c>
      <c r="R4" s="4">
        <v>17.2</v>
      </c>
      <c r="S4" s="5">
        <f t="shared" si="1"/>
        <v>20.639999999999997</v>
      </c>
      <c r="T4" s="4">
        <v>20.64</v>
      </c>
      <c r="U4" s="5">
        <f t="shared" si="2"/>
        <v>24.768000000000001</v>
      </c>
      <c r="V4" s="1" t="s">
        <v>31</v>
      </c>
    </row>
    <row r="5" spans="1:22" x14ac:dyDescent="0.2">
      <c r="A5" s="1">
        <v>1996708</v>
      </c>
      <c r="B5" s="1" t="s">
        <v>47</v>
      </c>
      <c r="C5" s="1" t="str">
        <f>"9788024613321"</f>
        <v>9788024613321</v>
      </c>
      <c r="D5" s="1" t="str">
        <f>"9788024624051"</f>
        <v>9788024624051</v>
      </c>
      <c r="E5" s="2" t="s">
        <v>48</v>
      </c>
      <c r="F5" s="2" t="s">
        <v>23</v>
      </c>
      <c r="G5" s="1" t="s">
        <v>24</v>
      </c>
      <c r="H5" s="1">
        <v>1</v>
      </c>
      <c r="J5" s="1" t="s">
        <v>49</v>
      </c>
      <c r="K5" s="1" t="s">
        <v>50</v>
      </c>
      <c r="L5" s="1" t="s">
        <v>51</v>
      </c>
      <c r="M5" s="1" t="s">
        <v>52</v>
      </c>
      <c r="N5" s="1" t="s">
        <v>53</v>
      </c>
      <c r="O5" s="1" t="s">
        <v>39</v>
      </c>
      <c r="P5" s="4">
        <v>16.510000000000002</v>
      </c>
      <c r="Q5" s="5">
        <f t="shared" si="0"/>
        <v>19.812000000000001</v>
      </c>
      <c r="R5" s="4">
        <v>20.64</v>
      </c>
      <c r="S5" s="5">
        <f t="shared" si="1"/>
        <v>24.768000000000001</v>
      </c>
      <c r="T5" s="4">
        <v>24.77</v>
      </c>
      <c r="U5" s="5">
        <f t="shared" si="2"/>
        <v>29.723999999999997</v>
      </c>
      <c r="V5" s="1" t="s">
        <v>31</v>
      </c>
    </row>
    <row r="6" spans="1:22" x14ac:dyDescent="0.2">
      <c r="A6" s="1">
        <v>1996709</v>
      </c>
      <c r="B6" s="1" t="s">
        <v>54</v>
      </c>
      <c r="C6" s="1" t="str">
        <f>"9788024623825"</f>
        <v>9788024623825</v>
      </c>
      <c r="D6" s="1" t="str">
        <f>"9788024624075"</f>
        <v>9788024624075</v>
      </c>
      <c r="E6" s="2" t="s">
        <v>55</v>
      </c>
      <c r="F6" s="2" t="s">
        <v>23</v>
      </c>
      <c r="G6" s="1" t="s">
        <v>24</v>
      </c>
      <c r="H6" s="1">
        <v>1</v>
      </c>
      <c r="J6" s="1" t="s">
        <v>56</v>
      </c>
      <c r="K6" s="1" t="s">
        <v>57</v>
      </c>
      <c r="L6" s="1" t="s">
        <v>58</v>
      </c>
      <c r="M6" s="1" t="s">
        <v>59</v>
      </c>
      <c r="N6" s="1" t="s">
        <v>60</v>
      </c>
      <c r="O6" s="1" t="s">
        <v>39</v>
      </c>
      <c r="P6" s="4">
        <v>13.76</v>
      </c>
      <c r="Q6" s="5">
        <f t="shared" si="0"/>
        <v>16.512</v>
      </c>
      <c r="R6" s="4">
        <v>17.2</v>
      </c>
      <c r="S6" s="5">
        <f t="shared" si="1"/>
        <v>20.639999999999997</v>
      </c>
      <c r="T6" s="4">
        <v>20.64</v>
      </c>
      <c r="U6" s="5">
        <f t="shared" si="2"/>
        <v>24.768000000000001</v>
      </c>
      <c r="V6" s="1" t="s">
        <v>31</v>
      </c>
    </row>
    <row r="7" spans="1:22" x14ac:dyDescent="0.2">
      <c r="A7" s="1">
        <v>1996710</v>
      </c>
      <c r="B7" s="1" t="s">
        <v>61</v>
      </c>
      <c r="C7" s="1" t="str">
        <f>"9788024621692"</f>
        <v>9788024621692</v>
      </c>
      <c r="D7" s="1" t="str">
        <f>"9788024624105"</f>
        <v>9788024624105</v>
      </c>
      <c r="E7" s="2" t="s">
        <v>62</v>
      </c>
      <c r="F7" s="2" t="s">
        <v>23</v>
      </c>
      <c r="G7" s="1" t="s">
        <v>24</v>
      </c>
      <c r="H7" s="1">
        <v>1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39</v>
      </c>
      <c r="P7" s="4">
        <v>13.76</v>
      </c>
      <c r="Q7" s="5">
        <f t="shared" si="0"/>
        <v>16.512</v>
      </c>
      <c r="R7" s="4">
        <v>17.2</v>
      </c>
      <c r="S7" s="5">
        <f t="shared" si="1"/>
        <v>20.639999999999997</v>
      </c>
      <c r="T7" s="4">
        <v>20.64</v>
      </c>
      <c r="U7" s="5">
        <f t="shared" si="2"/>
        <v>24.768000000000001</v>
      </c>
      <c r="V7" s="1" t="s">
        <v>31</v>
      </c>
    </row>
    <row r="8" spans="1:22" x14ac:dyDescent="0.2">
      <c r="A8" s="1">
        <v>1996711</v>
      </c>
      <c r="B8" s="1" t="s">
        <v>68</v>
      </c>
      <c r="C8" s="1" t="str">
        <f>"9788024623986"</f>
        <v>9788024623986</v>
      </c>
      <c r="D8" s="1" t="str">
        <f>"9788024624761"</f>
        <v>9788024624761</v>
      </c>
      <c r="E8" s="2" t="s">
        <v>69</v>
      </c>
      <c r="F8" s="2" t="s">
        <v>23</v>
      </c>
      <c r="G8" s="1" t="s">
        <v>24</v>
      </c>
      <c r="H8" s="1">
        <v>1</v>
      </c>
      <c r="I8" s="1" t="s">
        <v>70</v>
      </c>
      <c r="J8" s="1" t="s">
        <v>71</v>
      </c>
      <c r="K8" s="1" t="s">
        <v>72</v>
      </c>
      <c r="L8" s="1" t="s">
        <v>73</v>
      </c>
      <c r="M8" s="1" t="s">
        <v>74</v>
      </c>
      <c r="N8" s="1" t="s">
        <v>75</v>
      </c>
      <c r="O8" s="1" t="s">
        <v>39</v>
      </c>
      <c r="P8" s="4">
        <v>13.76</v>
      </c>
      <c r="Q8" s="5">
        <f t="shared" si="0"/>
        <v>16.512</v>
      </c>
      <c r="R8" s="4">
        <v>17.2</v>
      </c>
      <c r="S8" s="5">
        <f t="shared" si="1"/>
        <v>20.639999999999997</v>
      </c>
      <c r="T8" s="4">
        <v>20.64</v>
      </c>
      <c r="U8" s="5">
        <f t="shared" si="2"/>
        <v>24.768000000000001</v>
      </c>
      <c r="V8" s="1" t="s">
        <v>31</v>
      </c>
    </row>
    <row r="9" spans="1:22" x14ac:dyDescent="0.2">
      <c r="A9" s="1">
        <v>1996712</v>
      </c>
      <c r="B9" s="1" t="s">
        <v>76</v>
      </c>
      <c r="C9" s="1" t="str">
        <f>"9788024617626"</f>
        <v>9788024617626</v>
      </c>
      <c r="D9" s="1" t="str">
        <f>"9788024625119"</f>
        <v>9788024625119</v>
      </c>
      <c r="E9" s="2" t="s">
        <v>77</v>
      </c>
      <c r="F9" s="2" t="s">
        <v>23</v>
      </c>
      <c r="G9" s="1" t="s">
        <v>24</v>
      </c>
      <c r="H9" s="1">
        <v>1</v>
      </c>
      <c r="J9" s="1" t="s">
        <v>78</v>
      </c>
      <c r="K9" s="1" t="s">
        <v>79</v>
      </c>
      <c r="L9" s="1" t="s">
        <v>80</v>
      </c>
      <c r="M9" s="1" t="s">
        <v>81</v>
      </c>
      <c r="N9" s="1" t="s">
        <v>82</v>
      </c>
      <c r="O9" s="1" t="s">
        <v>39</v>
      </c>
      <c r="P9" s="4">
        <v>13.76</v>
      </c>
      <c r="Q9" s="5">
        <f t="shared" si="0"/>
        <v>16.512</v>
      </c>
      <c r="R9" s="4">
        <v>17.2</v>
      </c>
      <c r="S9" s="5">
        <f t="shared" si="1"/>
        <v>20.639999999999997</v>
      </c>
      <c r="T9" s="4">
        <v>20.64</v>
      </c>
      <c r="U9" s="5">
        <f t="shared" si="2"/>
        <v>24.768000000000001</v>
      </c>
      <c r="V9" s="1" t="s">
        <v>31</v>
      </c>
    </row>
    <row r="10" spans="1:22" x14ac:dyDescent="0.2">
      <c r="A10" s="1">
        <v>1996713</v>
      </c>
      <c r="B10" s="1" t="s">
        <v>83</v>
      </c>
      <c r="C10" s="1" t="str">
        <f>"9788024624785"</f>
        <v>9788024624785</v>
      </c>
      <c r="D10" s="1" t="str">
        <f>"9788024625355"</f>
        <v>9788024625355</v>
      </c>
      <c r="E10" s="2" t="s">
        <v>84</v>
      </c>
      <c r="F10" s="2" t="s">
        <v>23</v>
      </c>
      <c r="G10" s="1" t="s">
        <v>24</v>
      </c>
      <c r="H10" s="1">
        <v>1</v>
      </c>
      <c r="J10" s="1" t="s">
        <v>85</v>
      </c>
      <c r="K10" s="1" t="s">
        <v>86</v>
      </c>
      <c r="L10" s="1" t="s">
        <v>87</v>
      </c>
      <c r="M10" s="1" t="s">
        <v>88</v>
      </c>
      <c r="N10" s="1" t="s">
        <v>89</v>
      </c>
      <c r="O10" s="1" t="s">
        <v>39</v>
      </c>
      <c r="P10" s="4">
        <v>22.02</v>
      </c>
      <c r="Q10" s="5">
        <f t="shared" si="0"/>
        <v>26.423999999999999</v>
      </c>
      <c r="R10" s="4">
        <v>27.52</v>
      </c>
      <c r="S10" s="5">
        <f t="shared" si="1"/>
        <v>33.024000000000001</v>
      </c>
      <c r="T10" s="4">
        <v>33.03</v>
      </c>
      <c r="U10" s="5">
        <f t="shared" si="2"/>
        <v>39.636000000000003</v>
      </c>
      <c r="V10" s="1" t="s">
        <v>31</v>
      </c>
    </row>
    <row r="11" spans="1:22" x14ac:dyDescent="0.2">
      <c r="A11" s="1">
        <v>1996715</v>
      </c>
      <c r="B11" s="1" t="s">
        <v>90</v>
      </c>
      <c r="C11" s="1" t="str">
        <f>"9788024625201"</f>
        <v>9788024625201</v>
      </c>
      <c r="D11" s="1" t="str">
        <f>"9788024625843"</f>
        <v>9788024625843</v>
      </c>
      <c r="E11" s="2" t="s">
        <v>91</v>
      </c>
      <c r="F11" s="2" t="s">
        <v>23</v>
      </c>
      <c r="G11" s="1" t="s">
        <v>24</v>
      </c>
      <c r="H11" s="1">
        <v>1</v>
      </c>
      <c r="J11" s="1" t="s">
        <v>92</v>
      </c>
      <c r="K11" s="1" t="s">
        <v>93</v>
      </c>
      <c r="L11" s="1" t="s">
        <v>94</v>
      </c>
      <c r="M11" s="1" t="s">
        <v>95</v>
      </c>
      <c r="N11" s="1" t="s">
        <v>96</v>
      </c>
      <c r="O11" s="1" t="s">
        <v>30</v>
      </c>
      <c r="P11" s="4">
        <v>13.76</v>
      </c>
      <c r="Q11" s="5">
        <f t="shared" si="0"/>
        <v>16.512</v>
      </c>
      <c r="R11" s="4">
        <v>17.2</v>
      </c>
      <c r="S11" s="5">
        <f t="shared" si="1"/>
        <v>20.639999999999997</v>
      </c>
      <c r="T11" s="4">
        <v>20.64</v>
      </c>
      <c r="U11" s="5">
        <f t="shared" si="2"/>
        <v>24.768000000000001</v>
      </c>
      <c r="V11" s="1" t="s">
        <v>31</v>
      </c>
    </row>
    <row r="12" spans="1:22" x14ac:dyDescent="0.2">
      <c r="A12" s="1">
        <v>1996717</v>
      </c>
      <c r="B12" s="1" t="s">
        <v>97</v>
      </c>
      <c r="C12" s="1" t="str">
        <f>"9788024625621"</f>
        <v>9788024625621</v>
      </c>
      <c r="D12" s="1" t="str">
        <f>"9788024625935"</f>
        <v>9788024625935</v>
      </c>
      <c r="E12" s="2" t="s">
        <v>91</v>
      </c>
      <c r="F12" s="2" t="s">
        <v>23</v>
      </c>
      <c r="G12" s="1" t="s">
        <v>24</v>
      </c>
      <c r="H12" s="1">
        <v>1</v>
      </c>
      <c r="J12" s="1" t="s">
        <v>98</v>
      </c>
      <c r="K12" s="1" t="s">
        <v>79</v>
      </c>
      <c r="L12" s="1" t="s">
        <v>99</v>
      </c>
      <c r="M12" s="1" t="s">
        <v>100</v>
      </c>
      <c r="N12" s="1" t="s">
        <v>101</v>
      </c>
      <c r="O12" s="1" t="s">
        <v>39</v>
      </c>
      <c r="P12" s="4">
        <v>13.76</v>
      </c>
      <c r="Q12" s="5">
        <f t="shared" si="0"/>
        <v>16.512</v>
      </c>
      <c r="R12" s="4">
        <v>17.2</v>
      </c>
      <c r="S12" s="5">
        <f t="shared" si="1"/>
        <v>20.639999999999997</v>
      </c>
      <c r="T12" s="4">
        <v>20.64</v>
      </c>
      <c r="U12" s="5">
        <f t="shared" si="2"/>
        <v>24.768000000000001</v>
      </c>
      <c r="V12" s="1" t="s">
        <v>31</v>
      </c>
    </row>
    <row r="13" spans="1:22" x14ac:dyDescent="0.2">
      <c r="A13" s="1">
        <v>1996718</v>
      </c>
      <c r="B13" s="1" t="s">
        <v>102</v>
      </c>
      <c r="C13" s="1" t="str">
        <f>"9788024622552"</f>
        <v>9788024622552</v>
      </c>
      <c r="D13" s="1" t="str">
        <f>"9788024627137"</f>
        <v>9788024627137</v>
      </c>
      <c r="E13" s="2" t="s">
        <v>103</v>
      </c>
      <c r="F13" s="2" t="s">
        <v>23</v>
      </c>
      <c r="G13" s="1" t="s">
        <v>24</v>
      </c>
      <c r="H13" s="1">
        <v>1</v>
      </c>
      <c r="J13" s="1" t="s">
        <v>104</v>
      </c>
      <c r="K13" s="1" t="s">
        <v>64</v>
      </c>
      <c r="L13" s="1" t="s">
        <v>105</v>
      </c>
      <c r="M13" s="1" t="s">
        <v>106</v>
      </c>
      <c r="N13" s="1" t="s">
        <v>107</v>
      </c>
      <c r="O13" s="1" t="s">
        <v>39</v>
      </c>
      <c r="P13" s="4">
        <v>17.43</v>
      </c>
      <c r="Q13" s="5">
        <f t="shared" si="0"/>
        <v>20.916</v>
      </c>
      <c r="R13" s="4">
        <v>21.79</v>
      </c>
      <c r="S13" s="5">
        <f t="shared" si="1"/>
        <v>26.148</v>
      </c>
      <c r="T13" s="4">
        <v>26.15</v>
      </c>
      <c r="U13" s="5">
        <f t="shared" si="2"/>
        <v>31.379999999999995</v>
      </c>
      <c r="V13" s="1" t="s">
        <v>31</v>
      </c>
    </row>
    <row r="14" spans="1:22" x14ac:dyDescent="0.2">
      <c r="A14" s="1">
        <v>1996720</v>
      </c>
      <c r="B14" s="1" t="s">
        <v>108</v>
      </c>
      <c r="C14" s="1" t="str">
        <f>"9788024623320"</f>
        <v>9788024623320</v>
      </c>
      <c r="D14" s="1" t="str">
        <f>"9788024627236"</f>
        <v>9788024627236</v>
      </c>
      <c r="E14" s="2" t="s">
        <v>109</v>
      </c>
      <c r="F14" s="2" t="s">
        <v>23</v>
      </c>
      <c r="G14" s="1" t="s">
        <v>24</v>
      </c>
      <c r="H14" s="1">
        <v>1</v>
      </c>
      <c r="J14" s="1" t="s">
        <v>110</v>
      </c>
      <c r="K14" s="1" t="s">
        <v>111</v>
      </c>
      <c r="L14" s="1" t="s">
        <v>112</v>
      </c>
      <c r="M14" s="1" t="s">
        <v>113</v>
      </c>
      <c r="N14" s="1" t="s">
        <v>114</v>
      </c>
      <c r="O14" s="1" t="s">
        <v>39</v>
      </c>
      <c r="P14" s="4">
        <v>13.76</v>
      </c>
      <c r="Q14" s="5">
        <f t="shared" si="0"/>
        <v>16.512</v>
      </c>
      <c r="R14" s="4">
        <v>17.2</v>
      </c>
      <c r="S14" s="5">
        <f t="shared" si="1"/>
        <v>20.639999999999997</v>
      </c>
      <c r="T14" s="4">
        <v>20.64</v>
      </c>
      <c r="U14" s="5">
        <f t="shared" si="2"/>
        <v>24.768000000000001</v>
      </c>
      <c r="V14" s="1" t="s">
        <v>31</v>
      </c>
    </row>
    <row r="15" spans="1:22" x14ac:dyDescent="0.2">
      <c r="A15" s="1">
        <v>1996721</v>
      </c>
      <c r="B15" s="1" t="s">
        <v>115</v>
      </c>
      <c r="C15" s="1" t="str">
        <f>"9788024620763"</f>
        <v>9788024620763</v>
      </c>
      <c r="D15" s="1" t="str">
        <f>"9788024627489"</f>
        <v>9788024627489</v>
      </c>
      <c r="E15" s="2" t="s">
        <v>116</v>
      </c>
      <c r="F15" s="2" t="s">
        <v>23</v>
      </c>
      <c r="G15" s="1" t="s">
        <v>24</v>
      </c>
      <c r="H15" s="1">
        <v>1</v>
      </c>
      <c r="J15" s="1" t="s">
        <v>117</v>
      </c>
      <c r="K15" s="1" t="s">
        <v>118</v>
      </c>
      <c r="L15" s="1" t="s">
        <v>119</v>
      </c>
      <c r="M15" s="1">
        <v>616</v>
      </c>
      <c r="N15" s="1" t="s">
        <v>120</v>
      </c>
      <c r="O15" s="1" t="s">
        <v>30</v>
      </c>
      <c r="P15" s="4">
        <v>13.76</v>
      </c>
      <c r="Q15" s="5">
        <f t="shared" si="0"/>
        <v>16.512</v>
      </c>
      <c r="R15" s="4">
        <v>17.2</v>
      </c>
      <c r="S15" s="5">
        <f t="shared" si="1"/>
        <v>20.639999999999997</v>
      </c>
      <c r="T15" s="4">
        <v>20.64</v>
      </c>
      <c r="U15" s="5">
        <f t="shared" si="2"/>
        <v>24.768000000000001</v>
      </c>
      <c r="V15" s="1" t="s">
        <v>31</v>
      </c>
    </row>
    <row r="16" spans="1:22" x14ac:dyDescent="0.2">
      <c r="A16" s="1">
        <v>1996722</v>
      </c>
      <c r="B16" s="1" t="s">
        <v>121</v>
      </c>
      <c r="C16" s="1" t="str">
        <f>"9788024627977"</f>
        <v>9788024627977</v>
      </c>
      <c r="D16" s="1" t="str">
        <f>"9788024628233"</f>
        <v>9788024628233</v>
      </c>
      <c r="E16" s="2" t="s">
        <v>122</v>
      </c>
      <c r="F16" s="2" t="s">
        <v>23</v>
      </c>
      <c r="G16" s="1" t="s">
        <v>24</v>
      </c>
      <c r="H16" s="1">
        <v>1</v>
      </c>
      <c r="J16" s="1" t="s">
        <v>123</v>
      </c>
      <c r="K16" s="1" t="s">
        <v>124</v>
      </c>
      <c r="L16" s="1" t="s">
        <v>125</v>
      </c>
      <c r="M16" s="1" t="s">
        <v>126</v>
      </c>
      <c r="N16" s="1" t="s">
        <v>127</v>
      </c>
      <c r="O16" s="1" t="s">
        <v>30</v>
      </c>
      <c r="P16" s="4">
        <v>13.76</v>
      </c>
      <c r="Q16" s="5">
        <f t="shared" si="0"/>
        <v>16.512</v>
      </c>
      <c r="R16" s="4">
        <v>17.2</v>
      </c>
      <c r="S16" s="5">
        <f t="shared" si="1"/>
        <v>20.639999999999997</v>
      </c>
      <c r="T16" s="4">
        <v>20.64</v>
      </c>
      <c r="U16" s="5">
        <f t="shared" si="2"/>
        <v>24.768000000000001</v>
      </c>
      <c r="V16" s="1" t="s">
        <v>31</v>
      </c>
    </row>
    <row r="17" spans="1:22" x14ac:dyDescent="0.2">
      <c r="A17" s="1">
        <v>1996723</v>
      </c>
      <c r="B17" s="1" t="s">
        <v>128</v>
      </c>
      <c r="C17" s="1" t="str">
        <f>"9788024622149"</f>
        <v>9788024622149</v>
      </c>
      <c r="D17" s="1" t="str">
        <f>"9788024623283"</f>
        <v>9788024623283</v>
      </c>
      <c r="E17" s="2" t="s">
        <v>129</v>
      </c>
      <c r="F17" s="2" t="s">
        <v>23</v>
      </c>
      <c r="G17" s="1" t="s">
        <v>24</v>
      </c>
      <c r="H17" s="1">
        <v>1</v>
      </c>
      <c r="J17" s="1" t="s">
        <v>130</v>
      </c>
      <c r="K17" s="1" t="s">
        <v>131</v>
      </c>
      <c r="L17" s="1" t="s">
        <v>132</v>
      </c>
      <c r="M17" s="1" t="s">
        <v>133</v>
      </c>
      <c r="N17" s="1" t="s">
        <v>134</v>
      </c>
      <c r="O17" s="1" t="s">
        <v>30</v>
      </c>
      <c r="P17" s="4">
        <v>18.350000000000001</v>
      </c>
      <c r="Q17" s="5">
        <f t="shared" si="0"/>
        <v>22.02</v>
      </c>
      <c r="R17" s="4">
        <v>22.94</v>
      </c>
      <c r="S17" s="5">
        <f t="shared" si="1"/>
        <v>27.528000000000002</v>
      </c>
      <c r="T17" s="4">
        <v>27.52</v>
      </c>
      <c r="U17" s="5">
        <f t="shared" si="2"/>
        <v>33.024000000000001</v>
      </c>
      <c r="V17" s="1" t="s">
        <v>31</v>
      </c>
    </row>
    <row r="18" spans="1:22" x14ac:dyDescent="0.2">
      <c r="A18" s="1">
        <v>1996725</v>
      </c>
      <c r="B18" s="1" t="s">
        <v>135</v>
      </c>
      <c r="C18" s="1" t="str">
        <f>"9788024622262"</f>
        <v>9788024622262</v>
      </c>
      <c r="D18" s="1" t="str">
        <f>"9788024623740"</f>
        <v>9788024623740</v>
      </c>
      <c r="E18" s="2" t="s">
        <v>136</v>
      </c>
      <c r="F18" s="2" t="s">
        <v>23</v>
      </c>
      <c r="G18" s="1" t="s">
        <v>24</v>
      </c>
      <c r="H18" s="1">
        <v>1</v>
      </c>
      <c r="J18" s="1" t="s">
        <v>137</v>
      </c>
      <c r="K18" s="1" t="s">
        <v>138</v>
      </c>
      <c r="L18" s="1" t="s">
        <v>139</v>
      </c>
      <c r="M18" s="1" t="s">
        <v>140</v>
      </c>
      <c r="N18" s="1" t="s">
        <v>141</v>
      </c>
      <c r="O18" s="1" t="s">
        <v>30</v>
      </c>
      <c r="P18" s="4">
        <v>13.76</v>
      </c>
      <c r="Q18" s="5">
        <f t="shared" si="0"/>
        <v>16.512</v>
      </c>
      <c r="R18" s="4">
        <v>17.2</v>
      </c>
      <c r="S18" s="5">
        <f t="shared" si="1"/>
        <v>20.639999999999997</v>
      </c>
      <c r="T18" s="4">
        <v>20.64</v>
      </c>
      <c r="U18" s="5">
        <f t="shared" si="2"/>
        <v>24.768000000000001</v>
      </c>
      <c r="V18" s="1" t="s">
        <v>31</v>
      </c>
    </row>
    <row r="19" spans="1:22" x14ac:dyDescent="0.2">
      <c r="A19" s="1">
        <v>1996726</v>
      </c>
      <c r="B19" s="1" t="s">
        <v>142</v>
      </c>
      <c r="C19" s="1" t="str">
        <f>"9788024622095"</f>
        <v>9788024622095</v>
      </c>
      <c r="D19" s="1" t="str">
        <f>"9788024624181"</f>
        <v>9788024624181</v>
      </c>
      <c r="E19" s="2" t="s">
        <v>116</v>
      </c>
      <c r="F19" s="2" t="s">
        <v>23</v>
      </c>
      <c r="G19" s="1" t="s">
        <v>24</v>
      </c>
      <c r="H19" s="1">
        <v>1</v>
      </c>
      <c r="J19" s="1" t="s">
        <v>143</v>
      </c>
      <c r="K19" s="1" t="s">
        <v>43</v>
      </c>
      <c r="L19" s="1" t="s">
        <v>144</v>
      </c>
      <c r="M19" s="1" t="s">
        <v>145</v>
      </c>
      <c r="N19" s="1" t="s">
        <v>146</v>
      </c>
      <c r="O19" s="1" t="s">
        <v>39</v>
      </c>
      <c r="P19" s="4">
        <v>16.510000000000002</v>
      </c>
      <c r="Q19" s="5">
        <f t="shared" si="0"/>
        <v>19.812000000000001</v>
      </c>
      <c r="R19" s="4">
        <v>20.64</v>
      </c>
      <c r="S19" s="5">
        <f t="shared" si="1"/>
        <v>24.768000000000001</v>
      </c>
      <c r="T19" s="4">
        <v>24.77</v>
      </c>
      <c r="U19" s="5">
        <f t="shared" si="2"/>
        <v>29.723999999999997</v>
      </c>
      <c r="V19" s="1" t="s">
        <v>31</v>
      </c>
    </row>
    <row r="20" spans="1:22" x14ac:dyDescent="0.2">
      <c r="A20" s="1">
        <v>1996727</v>
      </c>
      <c r="B20" s="1" t="s">
        <v>147</v>
      </c>
      <c r="C20" s="1" t="str">
        <f>"9788024618241"</f>
        <v>9788024618241</v>
      </c>
      <c r="D20" s="1" t="str">
        <f>"9788024624198"</f>
        <v>9788024624198</v>
      </c>
      <c r="E20" s="2" t="s">
        <v>148</v>
      </c>
      <c r="F20" s="2" t="s">
        <v>23</v>
      </c>
      <c r="G20" s="1" t="s">
        <v>24</v>
      </c>
      <c r="H20" s="1">
        <v>1</v>
      </c>
      <c r="J20" s="1" t="s">
        <v>149</v>
      </c>
      <c r="K20" s="1" t="s">
        <v>150</v>
      </c>
      <c r="L20" s="1" t="s">
        <v>151</v>
      </c>
      <c r="M20" s="1" t="s">
        <v>152</v>
      </c>
      <c r="N20" s="1" t="s">
        <v>153</v>
      </c>
      <c r="O20" s="1" t="s">
        <v>39</v>
      </c>
      <c r="P20" s="4">
        <v>13.76</v>
      </c>
      <c r="Q20" s="5">
        <f t="shared" si="0"/>
        <v>16.512</v>
      </c>
      <c r="R20" s="4">
        <v>17.2</v>
      </c>
      <c r="S20" s="5">
        <f t="shared" si="1"/>
        <v>20.639999999999997</v>
      </c>
      <c r="T20" s="4">
        <v>20.64</v>
      </c>
      <c r="U20" s="5">
        <f t="shared" si="2"/>
        <v>24.768000000000001</v>
      </c>
      <c r="V20" s="1" t="s">
        <v>31</v>
      </c>
    </row>
    <row r="21" spans="1:22" x14ac:dyDescent="0.2">
      <c r="A21" s="1">
        <v>1996728</v>
      </c>
      <c r="B21" s="1" t="s">
        <v>154</v>
      </c>
      <c r="C21" s="1" t="str">
        <f>"9788024623726"</f>
        <v>9788024623726</v>
      </c>
      <c r="D21" s="1" t="str">
        <f>"9788024624280"</f>
        <v>9788024624280</v>
      </c>
      <c r="E21" s="2" t="s">
        <v>55</v>
      </c>
      <c r="F21" s="2" t="s">
        <v>23</v>
      </c>
      <c r="G21" s="1" t="s">
        <v>24</v>
      </c>
      <c r="H21" s="1">
        <v>1</v>
      </c>
      <c r="J21" s="1" t="s">
        <v>155</v>
      </c>
      <c r="K21" s="1" t="s">
        <v>36</v>
      </c>
      <c r="L21" s="1" t="s">
        <v>156</v>
      </c>
      <c r="M21" s="1" t="s">
        <v>157</v>
      </c>
      <c r="N21" s="1" t="s">
        <v>158</v>
      </c>
      <c r="O21" s="1" t="s">
        <v>39</v>
      </c>
      <c r="P21" s="4">
        <v>13.76</v>
      </c>
      <c r="Q21" s="5">
        <f t="shared" si="0"/>
        <v>16.512</v>
      </c>
      <c r="R21" s="4">
        <v>17.2</v>
      </c>
      <c r="S21" s="5">
        <f t="shared" si="1"/>
        <v>20.639999999999997</v>
      </c>
      <c r="T21" s="4">
        <v>20.64</v>
      </c>
      <c r="U21" s="5">
        <f t="shared" si="2"/>
        <v>24.768000000000001</v>
      </c>
      <c r="V21" s="1" t="s">
        <v>31</v>
      </c>
    </row>
    <row r="22" spans="1:22" x14ac:dyDescent="0.2">
      <c r="A22" s="1">
        <v>1996731</v>
      </c>
      <c r="B22" s="1" t="s">
        <v>159</v>
      </c>
      <c r="C22" s="1" t="str">
        <f>"9788024622286"</f>
        <v>9788024622286</v>
      </c>
      <c r="D22" s="1" t="str">
        <f>"9788024624563"</f>
        <v>9788024624563</v>
      </c>
      <c r="E22" s="2" t="s">
        <v>136</v>
      </c>
      <c r="F22" s="2" t="s">
        <v>23</v>
      </c>
      <c r="G22" s="1" t="s">
        <v>24</v>
      </c>
      <c r="H22" s="1">
        <v>1</v>
      </c>
      <c r="J22" s="1" t="s">
        <v>160</v>
      </c>
      <c r="K22" s="1" t="s">
        <v>161</v>
      </c>
      <c r="L22" s="1" t="s">
        <v>162</v>
      </c>
      <c r="M22" s="1" t="s">
        <v>163</v>
      </c>
      <c r="N22" s="1" t="s">
        <v>164</v>
      </c>
      <c r="O22" s="1" t="s">
        <v>30</v>
      </c>
      <c r="P22" s="4">
        <v>13.76</v>
      </c>
      <c r="Q22" s="5">
        <f t="shared" si="0"/>
        <v>16.512</v>
      </c>
      <c r="R22" s="4">
        <v>17.2</v>
      </c>
      <c r="S22" s="5">
        <f t="shared" si="1"/>
        <v>20.639999999999997</v>
      </c>
      <c r="T22" s="4">
        <v>20.64</v>
      </c>
      <c r="U22" s="5">
        <f t="shared" si="2"/>
        <v>24.768000000000001</v>
      </c>
      <c r="V22" s="1" t="s">
        <v>31</v>
      </c>
    </row>
    <row r="23" spans="1:22" x14ac:dyDescent="0.2">
      <c r="A23" s="1">
        <v>1996732</v>
      </c>
      <c r="B23" s="1" t="s">
        <v>165</v>
      </c>
      <c r="C23" s="1" t="str">
        <f>"9788024624297"</f>
        <v>9788024624297</v>
      </c>
      <c r="D23" s="1" t="str">
        <f>"9788024624907"</f>
        <v>9788024624907</v>
      </c>
      <c r="E23" s="2" t="s">
        <v>166</v>
      </c>
      <c r="F23" s="2" t="s">
        <v>23</v>
      </c>
      <c r="G23" s="1" t="s">
        <v>24</v>
      </c>
      <c r="H23" s="1">
        <v>1</v>
      </c>
      <c r="J23" s="1" t="s">
        <v>167</v>
      </c>
      <c r="K23" s="1" t="s">
        <v>111</v>
      </c>
      <c r="L23" s="1" t="s">
        <v>168</v>
      </c>
      <c r="M23" s="1" t="s">
        <v>169</v>
      </c>
      <c r="N23" s="1" t="s">
        <v>170</v>
      </c>
      <c r="O23" s="1" t="s">
        <v>171</v>
      </c>
      <c r="P23" s="4">
        <v>13.76</v>
      </c>
      <c r="Q23" s="5">
        <f t="shared" si="0"/>
        <v>16.512</v>
      </c>
      <c r="R23" s="4">
        <v>17.2</v>
      </c>
      <c r="S23" s="5">
        <f t="shared" si="1"/>
        <v>20.639999999999997</v>
      </c>
      <c r="T23" s="4">
        <v>20.64</v>
      </c>
      <c r="U23" s="5">
        <f t="shared" si="2"/>
        <v>24.768000000000001</v>
      </c>
      <c r="V23" s="1" t="s">
        <v>31</v>
      </c>
    </row>
    <row r="24" spans="1:22" x14ac:dyDescent="0.2">
      <c r="A24" s="1">
        <v>1996733</v>
      </c>
      <c r="B24" s="1" t="s">
        <v>172</v>
      </c>
      <c r="C24" s="1" t="str">
        <f>"9788024622408"</f>
        <v>9788024622408</v>
      </c>
      <c r="D24" s="1" t="str">
        <f>"9788024625348"</f>
        <v>9788024625348</v>
      </c>
      <c r="E24" s="2" t="s">
        <v>136</v>
      </c>
      <c r="F24" s="2" t="s">
        <v>23</v>
      </c>
      <c r="G24" s="1" t="s">
        <v>24</v>
      </c>
      <c r="H24" s="1">
        <v>1</v>
      </c>
      <c r="J24" s="1" t="s">
        <v>173</v>
      </c>
      <c r="K24" s="1" t="s">
        <v>174</v>
      </c>
      <c r="L24" s="1" t="s">
        <v>175</v>
      </c>
      <c r="M24" s="1" t="s">
        <v>176</v>
      </c>
      <c r="N24" s="1" t="s">
        <v>177</v>
      </c>
      <c r="O24" s="1" t="s">
        <v>30</v>
      </c>
      <c r="P24" s="4">
        <v>13.76</v>
      </c>
      <c r="Q24" s="5">
        <f t="shared" si="0"/>
        <v>16.512</v>
      </c>
      <c r="R24" s="4">
        <v>17.2</v>
      </c>
      <c r="S24" s="5">
        <f t="shared" si="1"/>
        <v>20.639999999999997</v>
      </c>
      <c r="T24" s="4">
        <v>20.64</v>
      </c>
      <c r="U24" s="5">
        <f t="shared" si="2"/>
        <v>24.768000000000001</v>
      </c>
      <c r="V24" s="1" t="s">
        <v>31</v>
      </c>
    </row>
    <row r="25" spans="1:22" x14ac:dyDescent="0.2">
      <c r="A25" s="1">
        <v>1996734</v>
      </c>
      <c r="B25" s="1" t="s">
        <v>178</v>
      </c>
      <c r="C25" s="1" t="str">
        <f>"9788024610139"</f>
        <v>9788024610139</v>
      </c>
      <c r="D25" s="1" t="str">
        <f>"9788024625379"</f>
        <v>9788024625379</v>
      </c>
      <c r="E25" s="2" t="s">
        <v>179</v>
      </c>
      <c r="F25" s="2" t="s">
        <v>23</v>
      </c>
      <c r="G25" s="1" t="s">
        <v>24</v>
      </c>
      <c r="H25" s="1">
        <v>1</v>
      </c>
      <c r="J25" s="1" t="s">
        <v>180</v>
      </c>
      <c r="K25" s="1" t="s">
        <v>181</v>
      </c>
      <c r="L25" s="1" t="s">
        <v>182</v>
      </c>
      <c r="M25" s="1" t="s">
        <v>183</v>
      </c>
      <c r="N25" s="1" t="s">
        <v>184</v>
      </c>
      <c r="O25" s="1" t="s">
        <v>39</v>
      </c>
      <c r="P25" s="4">
        <v>13.76</v>
      </c>
      <c r="Q25" s="5">
        <f t="shared" si="0"/>
        <v>16.512</v>
      </c>
      <c r="R25" s="4">
        <v>17.2</v>
      </c>
      <c r="S25" s="5">
        <f t="shared" si="1"/>
        <v>20.639999999999997</v>
      </c>
      <c r="T25" s="4">
        <v>20.64</v>
      </c>
      <c r="U25" s="5">
        <f t="shared" si="2"/>
        <v>24.768000000000001</v>
      </c>
      <c r="V25" s="1" t="s">
        <v>31</v>
      </c>
    </row>
    <row r="26" spans="1:22" x14ac:dyDescent="0.2">
      <c r="A26" s="1">
        <v>1996735</v>
      </c>
      <c r="B26" s="1" t="s">
        <v>185</v>
      </c>
      <c r="C26" s="1" t="str">
        <f>"9788024615738"</f>
        <v>9788024615738</v>
      </c>
      <c r="D26" s="1" t="str">
        <f>"9788024625799"</f>
        <v>9788024625799</v>
      </c>
      <c r="E26" s="2" t="s">
        <v>186</v>
      </c>
      <c r="F26" s="2" t="s">
        <v>23</v>
      </c>
      <c r="G26" s="1" t="s">
        <v>24</v>
      </c>
      <c r="H26" s="1">
        <v>1</v>
      </c>
      <c r="I26" s="1" t="s">
        <v>187</v>
      </c>
      <c r="J26" s="1" t="s">
        <v>188</v>
      </c>
      <c r="K26" s="1" t="s">
        <v>72</v>
      </c>
      <c r="L26" s="1" t="s">
        <v>189</v>
      </c>
      <c r="M26" s="1" t="s">
        <v>190</v>
      </c>
      <c r="N26" s="1" t="s">
        <v>191</v>
      </c>
      <c r="O26" s="1" t="s">
        <v>30</v>
      </c>
      <c r="P26" s="4">
        <v>18.350000000000001</v>
      </c>
      <c r="Q26" s="5">
        <f t="shared" si="0"/>
        <v>22.02</v>
      </c>
      <c r="R26" s="4">
        <v>22.94</v>
      </c>
      <c r="S26" s="5">
        <f t="shared" si="1"/>
        <v>27.528000000000002</v>
      </c>
      <c r="T26" s="4">
        <v>27.52</v>
      </c>
      <c r="U26" s="5">
        <f t="shared" si="2"/>
        <v>33.024000000000001</v>
      </c>
      <c r="V26" s="1" t="s">
        <v>31</v>
      </c>
    </row>
    <row r="27" spans="1:22" x14ac:dyDescent="0.2">
      <c r="A27" s="1">
        <v>1996736</v>
      </c>
      <c r="B27" s="1" t="s">
        <v>192</v>
      </c>
      <c r="C27" s="1" t="str">
        <f>"9788024620138"</f>
        <v>9788024620138</v>
      </c>
      <c r="D27" s="1" t="str">
        <f>"9788024625805"</f>
        <v>9788024625805</v>
      </c>
      <c r="E27" s="2" t="s">
        <v>193</v>
      </c>
      <c r="F27" s="2" t="s">
        <v>23</v>
      </c>
      <c r="G27" s="1" t="s">
        <v>24</v>
      </c>
      <c r="H27" s="1">
        <v>1</v>
      </c>
      <c r="J27" s="1" t="s">
        <v>194</v>
      </c>
      <c r="K27" s="1" t="s">
        <v>181</v>
      </c>
      <c r="L27" s="1" t="s">
        <v>195</v>
      </c>
      <c r="M27" s="1" t="s">
        <v>196</v>
      </c>
      <c r="N27" s="1" t="s">
        <v>197</v>
      </c>
      <c r="O27" s="1" t="s">
        <v>30</v>
      </c>
      <c r="P27" s="4">
        <v>18.350000000000001</v>
      </c>
      <c r="Q27" s="5">
        <f t="shared" si="0"/>
        <v>22.02</v>
      </c>
      <c r="R27" s="4">
        <v>22.94</v>
      </c>
      <c r="S27" s="5">
        <f t="shared" si="1"/>
        <v>27.528000000000002</v>
      </c>
      <c r="T27" s="4">
        <v>27.52</v>
      </c>
      <c r="U27" s="5">
        <f t="shared" si="2"/>
        <v>33.024000000000001</v>
      </c>
      <c r="V27" s="1" t="s">
        <v>31</v>
      </c>
    </row>
    <row r="28" spans="1:22" x14ac:dyDescent="0.2">
      <c r="A28" s="1">
        <v>1996737</v>
      </c>
      <c r="B28" s="1" t="s">
        <v>198</v>
      </c>
      <c r="C28" s="1" t="str">
        <f>"9788024620671"</f>
        <v>9788024620671</v>
      </c>
      <c r="D28" s="1" t="str">
        <f>"9788024626475"</f>
        <v>9788024626475</v>
      </c>
      <c r="E28" s="2" t="s">
        <v>199</v>
      </c>
      <c r="F28" s="2" t="s">
        <v>23</v>
      </c>
      <c r="G28" s="1" t="s">
        <v>24</v>
      </c>
      <c r="H28" s="1">
        <v>1</v>
      </c>
      <c r="J28" s="1" t="s">
        <v>200</v>
      </c>
      <c r="K28" s="1" t="s">
        <v>201</v>
      </c>
      <c r="L28" s="1" t="s">
        <v>202</v>
      </c>
      <c r="M28" s="1" t="s">
        <v>203</v>
      </c>
      <c r="N28" s="1" t="s">
        <v>204</v>
      </c>
      <c r="O28" s="1" t="s">
        <v>30</v>
      </c>
      <c r="P28" s="4">
        <v>13.76</v>
      </c>
      <c r="Q28" s="5">
        <f t="shared" si="0"/>
        <v>16.512</v>
      </c>
      <c r="R28" s="4">
        <v>17.2</v>
      </c>
      <c r="S28" s="5">
        <f t="shared" si="1"/>
        <v>20.639999999999997</v>
      </c>
      <c r="T28" s="4">
        <v>20.64</v>
      </c>
      <c r="U28" s="5">
        <f t="shared" si="2"/>
        <v>24.768000000000001</v>
      </c>
      <c r="V28" s="1" t="s">
        <v>31</v>
      </c>
    </row>
    <row r="29" spans="1:22" x14ac:dyDescent="0.2">
      <c r="A29" s="1">
        <v>1996738</v>
      </c>
      <c r="B29" s="1" t="s">
        <v>205</v>
      </c>
      <c r="C29" s="1" t="str">
        <f>"9788024620589"</f>
        <v>9788024620589</v>
      </c>
      <c r="D29" s="1" t="str">
        <f>"9788024626796"</f>
        <v>9788024626796</v>
      </c>
      <c r="E29" s="2" t="s">
        <v>206</v>
      </c>
      <c r="F29" s="2" t="s">
        <v>23</v>
      </c>
      <c r="G29" s="1" t="s">
        <v>24</v>
      </c>
      <c r="H29" s="1">
        <v>1</v>
      </c>
      <c r="J29" s="1" t="s">
        <v>207</v>
      </c>
      <c r="K29" s="1" t="s">
        <v>124</v>
      </c>
      <c r="L29" s="1" t="s">
        <v>208</v>
      </c>
      <c r="M29" s="1" t="s">
        <v>209</v>
      </c>
      <c r="N29" s="1" t="s">
        <v>210</v>
      </c>
      <c r="O29" s="1" t="s">
        <v>30</v>
      </c>
      <c r="P29" s="4">
        <v>18.350000000000001</v>
      </c>
      <c r="Q29" s="5">
        <f t="shared" si="0"/>
        <v>22.02</v>
      </c>
      <c r="R29" s="4">
        <v>22.94</v>
      </c>
      <c r="S29" s="5">
        <f t="shared" si="1"/>
        <v>27.528000000000002</v>
      </c>
      <c r="T29" s="4">
        <v>27.52</v>
      </c>
      <c r="U29" s="5">
        <f t="shared" si="2"/>
        <v>33.024000000000001</v>
      </c>
      <c r="V29" s="1" t="s">
        <v>31</v>
      </c>
    </row>
    <row r="30" spans="1:22" x14ac:dyDescent="0.2">
      <c r="A30" s="1">
        <v>1996739</v>
      </c>
      <c r="B30" s="1" t="s">
        <v>211</v>
      </c>
      <c r="C30" s="1" t="str">
        <f>"9788024621760"</f>
        <v>9788024621760</v>
      </c>
      <c r="D30" s="1" t="str">
        <f>"9788024627144"</f>
        <v>9788024627144</v>
      </c>
      <c r="E30" s="2" t="s">
        <v>212</v>
      </c>
      <c r="F30" s="2" t="s">
        <v>23</v>
      </c>
      <c r="G30" s="1" t="s">
        <v>24</v>
      </c>
      <c r="H30" s="1">
        <v>1</v>
      </c>
      <c r="J30" s="1" t="s">
        <v>213</v>
      </c>
      <c r="K30" s="1" t="s">
        <v>79</v>
      </c>
      <c r="L30" s="1" t="s">
        <v>214</v>
      </c>
      <c r="M30" s="1" t="s">
        <v>215</v>
      </c>
      <c r="N30" s="1" t="s">
        <v>216</v>
      </c>
      <c r="O30" s="1" t="s">
        <v>39</v>
      </c>
      <c r="P30" s="4">
        <v>13.76</v>
      </c>
      <c r="Q30" s="5">
        <f t="shared" si="0"/>
        <v>16.512</v>
      </c>
      <c r="R30" s="4">
        <v>17.2</v>
      </c>
      <c r="S30" s="5">
        <f t="shared" si="1"/>
        <v>20.639999999999997</v>
      </c>
      <c r="T30" s="4">
        <v>20.64</v>
      </c>
      <c r="U30" s="5">
        <f t="shared" si="2"/>
        <v>24.768000000000001</v>
      </c>
      <c r="V30" s="1" t="s">
        <v>31</v>
      </c>
    </row>
    <row r="31" spans="1:22" x14ac:dyDescent="0.2">
      <c r="A31" s="1">
        <v>1996740</v>
      </c>
      <c r="B31" s="1" t="s">
        <v>217</v>
      </c>
      <c r="C31" s="1" t="str">
        <f>"9788024624013"</f>
        <v>9788024624013</v>
      </c>
      <c r="D31" s="1" t="str">
        <f>"9788024627182"</f>
        <v>9788024627182</v>
      </c>
      <c r="E31" s="2" t="s">
        <v>166</v>
      </c>
      <c r="F31" s="2" t="s">
        <v>23</v>
      </c>
      <c r="G31" s="1" t="s">
        <v>24</v>
      </c>
      <c r="H31" s="1">
        <v>1</v>
      </c>
      <c r="J31" s="1" t="s">
        <v>218</v>
      </c>
      <c r="K31" s="1" t="s">
        <v>124</v>
      </c>
      <c r="L31" s="1" t="s">
        <v>219</v>
      </c>
      <c r="M31" s="1" t="s">
        <v>220</v>
      </c>
      <c r="N31" s="1" t="s">
        <v>221</v>
      </c>
      <c r="O31" s="1" t="s">
        <v>39</v>
      </c>
      <c r="P31" s="4">
        <v>13.76</v>
      </c>
      <c r="Q31" s="5">
        <f t="shared" si="0"/>
        <v>16.512</v>
      </c>
      <c r="R31" s="4">
        <v>17.2</v>
      </c>
      <c r="S31" s="5">
        <f t="shared" si="1"/>
        <v>20.639999999999997</v>
      </c>
      <c r="T31" s="4">
        <v>20.64</v>
      </c>
      <c r="U31" s="5">
        <f t="shared" si="2"/>
        <v>24.768000000000001</v>
      </c>
      <c r="V31" s="1" t="s">
        <v>31</v>
      </c>
    </row>
    <row r="32" spans="1:22" x14ac:dyDescent="0.2">
      <c r="A32" s="1">
        <v>1996741</v>
      </c>
      <c r="B32" s="1" t="s">
        <v>222</v>
      </c>
      <c r="C32" s="1" t="str">
        <f>"9788024623962"</f>
        <v>9788024623962</v>
      </c>
      <c r="D32" s="1" t="str">
        <f>"9788024628066"</f>
        <v>9788024628066</v>
      </c>
      <c r="E32" s="2" t="s">
        <v>223</v>
      </c>
      <c r="F32" s="2" t="s">
        <v>23</v>
      </c>
      <c r="G32" s="1" t="s">
        <v>24</v>
      </c>
      <c r="H32" s="1">
        <v>1</v>
      </c>
      <c r="J32" s="1" t="s">
        <v>224</v>
      </c>
      <c r="K32" s="1" t="s">
        <v>111</v>
      </c>
      <c r="L32" s="1" t="s">
        <v>225</v>
      </c>
      <c r="M32" s="1" t="s">
        <v>226</v>
      </c>
      <c r="N32" s="1" t="s">
        <v>227</v>
      </c>
      <c r="O32" s="1" t="s">
        <v>39</v>
      </c>
      <c r="P32" s="4">
        <v>24.77</v>
      </c>
      <c r="Q32" s="5">
        <f t="shared" si="0"/>
        <v>29.723999999999997</v>
      </c>
      <c r="R32" s="4">
        <v>30.96</v>
      </c>
      <c r="S32" s="5">
        <f t="shared" si="1"/>
        <v>37.152000000000001</v>
      </c>
      <c r="T32" s="4">
        <v>37.159999999999997</v>
      </c>
      <c r="U32" s="5">
        <f t="shared" si="2"/>
        <v>44.591999999999992</v>
      </c>
      <c r="V32" s="1" t="s">
        <v>31</v>
      </c>
    </row>
    <row r="33" spans="1:22" x14ac:dyDescent="0.2">
      <c r="A33" s="1">
        <v>1996742</v>
      </c>
      <c r="B33" s="1" t="s">
        <v>228</v>
      </c>
      <c r="C33" s="1" t="str">
        <f>"9788024628141"</f>
        <v>9788024628141</v>
      </c>
      <c r="D33" s="1" t="str">
        <f>"9788024628295"</f>
        <v>9788024628295</v>
      </c>
      <c r="E33" s="2" t="s">
        <v>122</v>
      </c>
      <c r="F33" s="2" t="s">
        <v>23</v>
      </c>
      <c r="G33" s="1" t="s">
        <v>24</v>
      </c>
      <c r="H33" s="1">
        <v>1</v>
      </c>
      <c r="J33" s="1" t="s">
        <v>229</v>
      </c>
      <c r="K33" s="1" t="s">
        <v>111</v>
      </c>
      <c r="L33" s="1" t="s">
        <v>230</v>
      </c>
      <c r="M33" s="1">
        <v>940</v>
      </c>
      <c r="N33" s="1" t="s">
        <v>231</v>
      </c>
      <c r="O33" s="1" t="s">
        <v>30</v>
      </c>
      <c r="P33" s="4">
        <v>13.76</v>
      </c>
      <c r="Q33" s="5">
        <f t="shared" si="0"/>
        <v>16.512</v>
      </c>
      <c r="R33" s="4">
        <v>17.2</v>
      </c>
      <c r="S33" s="5">
        <f t="shared" si="1"/>
        <v>20.639999999999997</v>
      </c>
      <c r="T33" s="4">
        <v>20.64</v>
      </c>
      <c r="U33" s="5">
        <f t="shared" si="2"/>
        <v>24.768000000000001</v>
      </c>
      <c r="V33" s="1" t="s">
        <v>31</v>
      </c>
    </row>
    <row r="34" spans="1:22" x14ac:dyDescent="0.2">
      <c r="A34" s="1">
        <v>1996743</v>
      </c>
      <c r="B34" s="1" t="s">
        <v>232</v>
      </c>
      <c r="C34" s="1" t="str">
        <f>"9788024622965"</f>
        <v>9788024622965</v>
      </c>
      <c r="D34" s="1" t="str">
        <f>"9788024623016"</f>
        <v>9788024623016</v>
      </c>
      <c r="E34" s="2" t="s">
        <v>233</v>
      </c>
      <c r="F34" s="2" t="s">
        <v>23</v>
      </c>
      <c r="G34" s="1" t="s">
        <v>24</v>
      </c>
      <c r="H34" s="1">
        <v>1</v>
      </c>
      <c r="J34" s="1" t="s">
        <v>234</v>
      </c>
      <c r="K34" s="1" t="s">
        <v>235</v>
      </c>
      <c r="L34" s="1" t="s">
        <v>236</v>
      </c>
      <c r="M34" s="1" t="s">
        <v>237</v>
      </c>
      <c r="N34" s="1" t="s">
        <v>238</v>
      </c>
      <c r="O34" s="1" t="s">
        <v>39</v>
      </c>
      <c r="P34" s="4">
        <v>13.76</v>
      </c>
      <c r="Q34" s="5">
        <f t="shared" si="0"/>
        <v>16.512</v>
      </c>
      <c r="R34" s="4">
        <v>17.2</v>
      </c>
      <c r="S34" s="5">
        <f t="shared" si="1"/>
        <v>20.639999999999997</v>
      </c>
      <c r="T34" s="4">
        <v>20.64</v>
      </c>
      <c r="U34" s="5">
        <f t="shared" si="2"/>
        <v>24.768000000000001</v>
      </c>
      <c r="V34" s="1" t="s">
        <v>31</v>
      </c>
    </row>
    <row r="35" spans="1:22" x14ac:dyDescent="0.2">
      <c r="A35" s="1">
        <v>1996744</v>
      </c>
      <c r="B35" s="1" t="s">
        <v>239</v>
      </c>
      <c r="C35" s="1" t="str">
        <f>"9788024620602"</f>
        <v>9788024620602</v>
      </c>
      <c r="D35" s="1" t="str">
        <f>"9788024623030"</f>
        <v>9788024623030</v>
      </c>
      <c r="E35" s="2" t="s">
        <v>240</v>
      </c>
      <c r="F35" s="2" t="s">
        <v>23</v>
      </c>
      <c r="G35" s="1" t="s">
        <v>24</v>
      </c>
      <c r="H35" s="1">
        <v>1</v>
      </c>
      <c r="J35" s="1" t="s">
        <v>241</v>
      </c>
      <c r="K35" s="1" t="s">
        <v>242</v>
      </c>
      <c r="L35" s="1" t="s">
        <v>243</v>
      </c>
      <c r="M35" s="1" t="s">
        <v>244</v>
      </c>
      <c r="N35" s="1" t="s">
        <v>245</v>
      </c>
      <c r="O35" s="1" t="s">
        <v>39</v>
      </c>
      <c r="P35" s="4">
        <v>13.76</v>
      </c>
      <c r="Q35" s="5">
        <f t="shared" si="0"/>
        <v>16.512</v>
      </c>
      <c r="R35" s="4">
        <v>17.2</v>
      </c>
      <c r="S35" s="5">
        <f t="shared" si="1"/>
        <v>20.639999999999997</v>
      </c>
      <c r="T35" s="4">
        <v>20.64</v>
      </c>
      <c r="U35" s="5">
        <f t="shared" si="2"/>
        <v>24.768000000000001</v>
      </c>
      <c r="V35" s="1" t="s">
        <v>31</v>
      </c>
    </row>
    <row r="36" spans="1:22" x14ac:dyDescent="0.2">
      <c r="A36" s="1">
        <v>1996745</v>
      </c>
      <c r="B36" s="1" t="s">
        <v>246</v>
      </c>
      <c r="C36" s="1" t="str">
        <f>"9788024622880"</f>
        <v>9788024622880</v>
      </c>
      <c r="D36" s="1" t="str">
        <f>"9788024623078"</f>
        <v>9788024623078</v>
      </c>
      <c r="E36" s="2" t="s">
        <v>55</v>
      </c>
      <c r="F36" s="2" t="s">
        <v>23</v>
      </c>
      <c r="G36" s="1" t="s">
        <v>24</v>
      </c>
      <c r="H36" s="1">
        <v>1</v>
      </c>
      <c r="J36" s="1" t="s">
        <v>247</v>
      </c>
      <c r="K36" s="1" t="s">
        <v>248</v>
      </c>
      <c r="L36" s="1" t="s">
        <v>249</v>
      </c>
      <c r="M36" s="1" t="s">
        <v>250</v>
      </c>
      <c r="N36" s="1" t="s">
        <v>251</v>
      </c>
      <c r="O36" s="1" t="s">
        <v>30</v>
      </c>
      <c r="P36" s="4">
        <v>13.76</v>
      </c>
      <c r="Q36" s="5">
        <f t="shared" si="0"/>
        <v>16.512</v>
      </c>
      <c r="R36" s="4">
        <v>17.2</v>
      </c>
      <c r="S36" s="5">
        <f t="shared" si="1"/>
        <v>20.639999999999997</v>
      </c>
      <c r="T36" s="4">
        <v>20.64</v>
      </c>
      <c r="U36" s="5">
        <f t="shared" si="2"/>
        <v>24.768000000000001</v>
      </c>
      <c r="V36" s="1" t="s">
        <v>31</v>
      </c>
    </row>
    <row r="37" spans="1:22" x14ac:dyDescent="0.2">
      <c r="A37" s="1">
        <v>1996747</v>
      </c>
      <c r="B37" s="1" t="s">
        <v>252</v>
      </c>
      <c r="C37" s="1" t="str">
        <f>"9788024619460"</f>
        <v>9788024619460</v>
      </c>
      <c r="D37" s="1" t="str">
        <f>"9788024623603"</f>
        <v>9788024623603</v>
      </c>
      <c r="E37" s="2" t="s">
        <v>253</v>
      </c>
      <c r="F37" s="2" t="s">
        <v>23</v>
      </c>
      <c r="G37" s="1" t="s">
        <v>24</v>
      </c>
      <c r="H37" s="1">
        <v>2</v>
      </c>
      <c r="J37" s="1" t="s">
        <v>254</v>
      </c>
      <c r="K37" s="1" t="s">
        <v>79</v>
      </c>
      <c r="L37" s="1" t="s">
        <v>255</v>
      </c>
      <c r="M37" s="1">
        <v>410</v>
      </c>
      <c r="N37" s="1" t="s">
        <v>256</v>
      </c>
      <c r="O37" s="1" t="s">
        <v>39</v>
      </c>
      <c r="P37" s="4">
        <v>13.76</v>
      </c>
      <c r="Q37" s="5">
        <f t="shared" si="0"/>
        <v>16.512</v>
      </c>
      <c r="R37" s="4">
        <v>17.2</v>
      </c>
      <c r="S37" s="5">
        <f t="shared" si="1"/>
        <v>20.639999999999997</v>
      </c>
      <c r="T37" s="4">
        <v>20.64</v>
      </c>
      <c r="U37" s="5">
        <f t="shared" si="2"/>
        <v>24.768000000000001</v>
      </c>
      <c r="V37" s="1" t="s">
        <v>31</v>
      </c>
    </row>
    <row r="38" spans="1:22" x14ac:dyDescent="0.2">
      <c r="A38" s="1">
        <v>1996748</v>
      </c>
      <c r="B38" s="1" t="s">
        <v>257</v>
      </c>
      <c r="C38" s="1" t="str">
        <f>"9788024614328"</f>
        <v>9788024614328</v>
      </c>
      <c r="D38" s="1" t="str">
        <f>"9788024623702"</f>
        <v>9788024623702</v>
      </c>
      <c r="E38" s="2" t="s">
        <v>258</v>
      </c>
      <c r="F38" s="2" t="s">
        <v>23</v>
      </c>
      <c r="G38" s="1" t="s">
        <v>24</v>
      </c>
      <c r="H38" s="1">
        <v>1</v>
      </c>
      <c r="J38" s="1" t="s">
        <v>259</v>
      </c>
      <c r="K38" s="1" t="s">
        <v>260</v>
      </c>
      <c r="L38" s="1" t="s">
        <v>261</v>
      </c>
      <c r="M38" s="1" t="s">
        <v>262</v>
      </c>
      <c r="N38" s="1" t="s">
        <v>263</v>
      </c>
      <c r="O38" s="1" t="s">
        <v>39</v>
      </c>
      <c r="P38" s="4">
        <v>18.350000000000001</v>
      </c>
      <c r="Q38" s="5">
        <f t="shared" si="0"/>
        <v>22.02</v>
      </c>
      <c r="R38" s="4">
        <v>22.94</v>
      </c>
      <c r="S38" s="5">
        <f t="shared" si="1"/>
        <v>27.528000000000002</v>
      </c>
      <c r="T38" s="4">
        <v>27.52</v>
      </c>
      <c r="U38" s="5">
        <f t="shared" si="2"/>
        <v>33.024000000000001</v>
      </c>
      <c r="V38" s="1" t="s">
        <v>31</v>
      </c>
    </row>
    <row r="39" spans="1:22" x14ac:dyDescent="0.2">
      <c r="A39" s="1">
        <v>1996751</v>
      </c>
      <c r="B39" s="1" t="s">
        <v>264</v>
      </c>
      <c r="C39" s="1" t="str">
        <f>"9788024619651"</f>
        <v>9788024619651</v>
      </c>
      <c r="D39" s="1" t="str">
        <f>"9788024624686"</f>
        <v>9788024624686</v>
      </c>
      <c r="E39" s="2" t="s">
        <v>265</v>
      </c>
      <c r="F39" s="2" t="s">
        <v>23</v>
      </c>
      <c r="G39" s="1" t="s">
        <v>24</v>
      </c>
      <c r="H39" s="1">
        <v>1</v>
      </c>
      <c r="J39" s="1" t="s">
        <v>266</v>
      </c>
      <c r="K39" s="1" t="s">
        <v>138</v>
      </c>
      <c r="L39" s="1" t="s">
        <v>267</v>
      </c>
      <c r="M39" s="1">
        <v>913</v>
      </c>
      <c r="N39" s="1" t="s">
        <v>268</v>
      </c>
      <c r="O39" s="1" t="s">
        <v>30</v>
      </c>
      <c r="P39" s="4">
        <v>13.76</v>
      </c>
      <c r="Q39" s="5">
        <f t="shared" si="0"/>
        <v>16.512</v>
      </c>
      <c r="R39" s="4">
        <v>17.2</v>
      </c>
      <c r="S39" s="5">
        <f t="shared" si="1"/>
        <v>20.639999999999997</v>
      </c>
      <c r="T39" s="4">
        <v>20.64</v>
      </c>
      <c r="U39" s="5">
        <f t="shared" si="2"/>
        <v>24.768000000000001</v>
      </c>
      <c r="V39" s="1" t="s">
        <v>31</v>
      </c>
    </row>
    <row r="40" spans="1:22" x14ac:dyDescent="0.2">
      <c r="A40" s="1">
        <v>1996752</v>
      </c>
      <c r="B40" s="1" t="s">
        <v>269</v>
      </c>
      <c r="C40" s="1" t="str">
        <f>"9788024619040"</f>
        <v>9788024619040</v>
      </c>
      <c r="D40" s="1" t="str">
        <f>"9788024624709"</f>
        <v>9788024624709</v>
      </c>
      <c r="E40" s="2" t="s">
        <v>77</v>
      </c>
      <c r="F40" s="2" t="s">
        <v>23</v>
      </c>
      <c r="G40" s="1" t="s">
        <v>24</v>
      </c>
      <c r="H40" s="1">
        <v>1</v>
      </c>
      <c r="J40" s="1" t="s">
        <v>270</v>
      </c>
      <c r="K40" s="1" t="s">
        <v>111</v>
      </c>
      <c r="L40" s="1" t="s">
        <v>271</v>
      </c>
      <c r="M40" s="1" t="s">
        <v>272</v>
      </c>
      <c r="N40" s="1" t="s">
        <v>273</v>
      </c>
      <c r="O40" s="1" t="s">
        <v>39</v>
      </c>
      <c r="P40" s="4">
        <v>13.76</v>
      </c>
      <c r="Q40" s="5">
        <f t="shared" si="0"/>
        <v>16.512</v>
      </c>
      <c r="R40" s="4">
        <v>17.2</v>
      </c>
      <c r="S40" s="5">
        <f t="shared" si="1"/>
        <v>20.639999999999997</v>
      </c>
      <c r="T40" s="4">
        <v>20.64</v>
      </c>
      <c r="U40" s="5">
        <f t="shared" si="2"/>
        <v>24.768000000000001</v>
      </c>
      <c r="V40" s="1" t="s">
        <v>31</v>
      </c>
    </row>
    <row r="41" spans="1:22" x14ac:dyDescent="0.2">
      <c r="A41" s="1">
        <v>1996753</v>
      </c>
      <c r="B41" s="1" t="s">
        <v>274</v>
      </c>
      <c r="C41" s="1" t="str">
        <f>"9788024621104"</f>
        <v>9788024621104</v>
      </c>
      <c r="D41" s="1" t="str">
        <f>"9788024624853"</f>
        <v>9788024624853</v>
      </c>
      <c r="E41" s="2" t="s">
        <v>275</v>
      </c>
      <c r="F41" s="2" t="s">
        <v>23</v>
      </c>
      <c r="G41" s="1" t="s">
        <v>24</v>
      </c>
      <c r="H41" s="1">
        <v>1</v>
      </c>
      <c r="J41" s="1" t="s">
        <v>276</v>
      </c>
      <c r="K41" s="1" t="s">
        <v>277</v>
      </c>
      <c r="L41" s="1" t="s">
        <v>278</v>
      </c>
      <c r="M41" s="1" t="s">
        <v>279</v>
      </c>
      <c r="N41" s="1" t="s">
        <v>280</v>
      </c>
      <c r="O41" s="1" t="s">
        <v>281</v>
      </c>
      <c r="P41" s="4">
        <v>13.76</v>
      </c>
      <c r="Q41" s="5">
        <f t="shared" si="0"/>
        <v>16.512</v>
      </c>
      <c r="R41" s="4">
        <v>17.2</v>
      </c>
      <c r="S41" s="5">
        <f t="shared" si="1"/>
        <v>20.639999999999997</v>
      </c>
      <c r="T41" s="4">
        <v>20.64</v>
      </c>
      <c r="U41" s="5">
        <f t="shared" si="2"/>
        <v>24.768000000000001</v>
      </c>
      <c r="V41" s="1" t="s">
        <v>31</v>
      </c>
    </row>
    <row r="42" spans="1:22" x14ac:dyDescent="0.2">
      <c r="A42" s="1">
        <v>1996754</v>
      </c>
      <c r="B42" s="1" t="s">
        <v>282</v>
      </c>
      <c r="C42" s="1" t="str">
        <f>"9788024624914"</f>
        <v>9788024624914</v>
      </c>
      <c r="D42" s="1" t="str">
        <f>"9788024624921"</f>
        <v>9788024624921</v>
      </c>
      <c r="E42" s="2" t="s">
        <v>122</v>
      </c>
      <c r="F42" s="2" t="s">
        <v>23</v>
      </c>
      <c r="G42" s="1" t="s">
        <v>24</v>
      </c>
      <c r="H42" s="1">
        <v>1</v>
      </c>
      <c r="J42" s="1" t="s">
        <v>283</v>
      </c>
      <c r="K42" s="1" t="s">
        <v>284</v>
      </c>
      <c r="L42" s="1" t="s">
        <v>285</v>
      </c>
      <c r="M42" s="1" t="s">
        <v>286</v>
      </c>
      <c r="N42" s="1" t="s">
        <v>287</v>
      </c>
      <c r="O42" s="1" t="s">
        <v>171</v>
      </c>
      <c r="P42" s="4">
        <v>13.76</v>
      </c>
      <c r="Q42" s="5">
        <f t="shared" si="0"/>
        <v>16.512</v>
      </c>
      <c r="R42" s="4">
        <v>17.2</v>
      </c>
      <c r="S42" s="5">
        <f t="shared" si="1"/>
        <v>20.639999999999997</v>
      </c>
      <c r="T42" s="4">
        <v>20.64</v>
      </c>
      <c r="U42" s="5">
        <f t="shared" si="2"/>
        <v>24.768000000000001</v>
      </c>
      <c r="V42" s="1" t="s">
        <v>31</v>
      </c>
    </row>
    <row r="43" spans="1:22" x14ac:dyDescent="0.2">
      <c r="A43" s="1">
        <v>1996755</v>
      </c>
      <c r="B43" s="1" t="s">
        <v>288</v>
      </c>
      <c r="C43" s="1" t="str">
        <f>"9788024625102"</f>
        <v>9788024625102</v>
      </c>
      <c r="D43" s="1" t="str">
        <f>"9788024625423"</f>
        <v>9788024625423</v>
      </c>
      <c r="E43" s="2" t="s">
        <v>122</v>
      </c>
      <c r="F43" s="2" t="s">
        <v>23</v>
      </c>
      <c r="G43" s="1" t="s">
        <v>24</v>
      </c>
      <c r="H43" s="1">
        <v>1</v>
      </c>
      <c r="J43" s="1" t="s">
        <v>289</v>
      </c>
      <c r="K43" s="1" t="s">
        <v>290</v>
      </c>
      <c r="L43" s="1" t="s">
        <v>291</v>
      </c>
      <c r="M43" s="1">
        <v>613</v>
      </c>
      <c r="N43" s="1" t="s">
        <v>292</v>
      </c>
      <c r="O43" s="1" t="s">
        <v>39</v>
      </c>
      <c r="P43" s="4">
        <v>13.76</v>
      </c>
      <c r="Q43" s="5">
        <f t="shared" si="0"/>
        <v>16.512</v>
      </c>
      <c r="R43" s="4">
        <v>17.2</v>
      </c>
      <c r="S43" s="5">
        <f t="shared" si="1"/>
        <v>20.639999999999997</v>
      </c>
      <c r="T43" s="4">
        <v>20.64</v>
      </c>
      <c r="U43" s="5">
        <f t="shared" si="2"/>
        <v>24.768000000000001</v>
      </c>
      <c r="V43" s="1" t="s">
        <v>31</v>
      </c>
    </row>
    <row r="44" spans="1:22" x14ac:dyDescent="0.2">
      <c r="A44" s="1">
        <v>1996756</v>
      </c>
      <c r="B44" s="1" t="s">
        <v>293</v>
      </c>
      <c r="C44" s="1" t="str">
        <f>"9788024619033"</f>
        <v>9788024619033</v>
      </c>
      <c r="D44" s="1" t="str">
        <f>"9788024625485"</f>
        <v>9788024625485</v>
      </c>
      <c r="E44" s="2" t="s">
        <v>77</v>
      </c>
      <c r="F44" s="2" t="s">
        <v>23</v>
      </c>
      <c r="G44" s="1" t="s">
        <v>24</v>
      </c>
      <c r="H44" s="1">
        <v>1</v>
      </c>
      <c r="J44" s="1" t="s">
        <v>294</v>
      </c>
      <c r="K44" s="1" t="s">
        <v>79</v>
      </c>
      <c r="L44" s="1" t="s">
        <v>295</v>
      </c>
      <c r="M44" s="1" t="s">
        <v>296</v>
      </c>
      <c r="N44" s="1" t="s">
        <v>297</v>
      </c>
      <c r="O44" s="1" t="s">
        <v>39</v>
      </c>
      <c r="P44" s="4">
        <v>13.76</v>
      </c>
      <c r="Q44" s="5">
        <f t="shared" si="0"/>
        <v>16.512</v>
      </c>
      <c r="R44" s="4">
        <v>17.2</v>
      </c>
      <c r="S44" s="5">
        <f t="shared" si="1"/>
        <v>20.639999999999997</v>
      </c>
      <c r="T44" s="4">
        <v>20.64</v>
      </c>
      <c r="U44" s="5">
        <f t="shared" si="2"/>
        <v>24.768000000000001</v>
      </c>
      <c r="V44" s="1" t="s">
        <v>31</v>
      </c>
    </row>
    <row r="45" spans="1:22" x14ac:dyDescent="0.2">
      <c r="A45" s="1">
        <v>1996758</v>
      </c>
      <c r="B45" s="1" t="s">
        <v>298</v>
      </c>
      <c r="C45" s="1" t="str">
        <f>"9788024624778"</f>
        <v>9788024624778</v>
      </c>
      <c r="D45" s="1" t="str">
        <f>"9788024626031"</f>
        <v>9788024626031</v>
      </c>
      <c r="E45" s="2" t="s">
        <v>84</v>
      </c>
      <c r="F45" s="2" t="s">
        <v>23</v>
      </c>
      <c r="G45" s="1" t="s">
        <v>24</v>
      </c>
      <c r="H45" s="1">
        <v>1</v>
      </c>
      <c r="J45" s="1" t="s">
        <v>299</v>
      </c>
      <c r="K45" s="1" t="s">
        <v>124</v>
      </c>
      <c r="L45" s="1" t="s">
        <v>300</v>
      </c>
      <c r="M45" s="1" t="s">
        <v>301</v>
      </c>
      <c r="N45" s="1" t="s">
        <v>302</v>
      </c>
      <c r="O45" s="1" t="s">
        <v>39</v>
      </c>
      <c r="P45" s="4">
        <v>13.76</v>
      </c>
      <c r="Q45" s="5">
        <f t="shared" si="0"/>
        <v>16.512</v>
      </c>
      <c r="R45" s="4">
        <v>17.2</v>
      </c>
      <c r="S45" s="5">
        <f t="shared" si="1"/>
        <v>20.639999999999997</v>
      </c>
      <c r="T45" s="4">
        <v>20.64</v>
      </c>
      <c r="U45" s="5">
        <f t="shared" si="2"/>
        <v>24.768000000000001</v>
      </c>
      <c r="V45" s="1" t="s">
        <v>31</v>
      </c>
    </row>
    <row r="46" spans="1:22" x14ac:dyDescent="0.2">
      <c r="A46" s="1">
        <v>1996759</v>
      </c>
      <c r="B46" s="1" t="s">
        <v>303</v>
      </c>
      <c r="C46" s="1" t="str">
        <f>"9788024619668"</f>
        <v>9788024619668</v>
      </c>
      <c r="D46" s="1" t="str">
        <f>"9788024626192"</f>
        <v>9788024626192</v>
      </c>
      <c r="E46" s="2" t="s">
        <v>304</v>
      </c>
      <c r="F46" s="2" t="s">
        <v>23</v>
      </c>
      <c r="G46" s="1" t="s">
        <v>24</v>
      </c>
      <c r="H46" s="1">
        <v>4</v>
      </c>
      <c r="J46" s="1" t="s">
        <v>305</v>
      </c>
      <c r="K46" s="1" t="s">
        <v>43</v>
      </c>
      <c r="L46" s="1" t="s">
        <v>306</v>
      </c>
      <c r="M46" s="1" t="s">
        <v>307</v>
      </c>
      <c r="N46" s="1" t="s">
        <v>308</v>
      </c>
      <c r="O46" s="1" t="s">
        <v>39</v>
      </c>
      <c r="P46" s="4">
        <v>13.76</v>
      </c>
      <c r="Q46" s="5">
        <f t="shared" si="0"/>
        <v>16.512</v>
      </c>
      <c r="R46" s="4">
        <v>17.2</v>
      </c>
      <c r="S46" s="5">
        <f t="shared" si="1"/>
        <v>20.639999999999997</v>
      </c>
      <c r="T46" s="4">
        <v>20.64</v>
      </c>
      <c r="U46" s="5">
        <f t="shared" si="2"/>
        <v>24.768000000000001</v>
      </c>
      <c r="V46" s="1" t="s">
        <v>31</v>
      </c>
    </row>
    <row r="47" spans="1:22" x14ac:dyDescent="0.2">
      <c r="A47" s="1">
        <v>1996760</v>
      </c>
      <c r="B47" s="1" t="s">
        <v>309</v>
      </c>
      <c r="C47" s="1" t="str">
        <f>"9788024620244"</f>
        <v>9788024620244</v>
      </c>
      <c r="D47" s="1" t="str">
        <f>"9788024627212"</f>
        <v>9788024627212</v>
      </c>
      <c r="E47" s="2" t="s">
        <v>103</v>
      </c>
      <c r="F47" s="2" t="s">
        <v>23</v>
      </c>
      <c r="G47" s="1" t="s">
        <v>24</v>
      </c>
      <c r="H47" s="1">
        <v>1</v>
      </c>
      <c r="J47" s="1" t="s">
        <v>310</v>
      </c>
      <c r="K47" s="1" t="s">
        <v>50</v>
      </c>
      <c r="L47" s="1" t="s">
        <v>311</v>
      </c>
      <c r="M47" s="1" t="s">
        <v>312</v>
      </c>
      <c r="N47" s="1" t="s">
        <v>313</v>
      </c>
      <c r="O47" s="1" t="s">
        <v>30</v>
      </c>
      <c r="P47" s="4">
        <v>13.76</v>
      </c>
      <c r="Q47" s="5">
        <f t="shared" si="0"/>
        <v>16.512</v>
      </c>
      <c r="R47" s="4">
        <v>17.2</v>
      </c>
      <c r="S47" s="5">
        <f t="shared" si="1"/>
        <v>20.639999999999997</v>
      </c>
      <c r="T47" s="4">
        <v>20.64</v>
      </c>
      <c r="U47" s="5">
        <f t="shared" si="2"/>
        <v>24.768000000000001</v>
      </c>
      <c r="V47" s="1" t="s">
        <v>31</v>
      </c>
    </row>
    <row r="48" spans="1:22" x14ac:dyDescent="0.2">
      <c r="A48" s="1">
        <v>1996761</v>
      </c>
      <c r="B48" s="1" t="s">
        <v>314</v>
      </c>
      <c r="C48" s="1" t="str">
        <f>"9788024621401"</f>
        <v>9788024621401</v>
      </c>
      <c r="D48" s="1" t="str">
        <f>"9788024627250"</f>
        <v>9788024627250</v>
      </c>
      <c r="E48" s="2" t="s">
        <v>116</v>
      </c>
      <c r="F48" s="2" t="s">
        <v>23</v>
      </c>
      <c r="G48" s="1" t="s">
        <v>24</v>
      </c>
      <c r="H48" s="1">
        <v>1</v>
      </c>
      <c r="J48" s="1" t="s">
        <v>315</v>
      </c>
      <c r="K48" s="1" t="s">
        <v>111</v>
      </c>
      <c r="L48" s="1" t="s">
        <v>316</v>
      </c>
      <c r="M48" s="1" t="s">
        <v>317</v>
      </c>
      <c r="N48" s="1" t="s">
        <v>318</v>
      </c>
      <c r="O48" s="1" t="s">
        <v>39</v>
      </c>
      <c r="P48" s="4">
        <v>13.76</v>
      </c>
      <c r="Q48" s="5">
        <f t="shared" si="0"/>
        <v>16.512</v>
      </c>
      <c r="R48" s="4">
        <v>17.2</v>
      </c>
      <c r="S48" s="5">
        <f t="shared" si="1"/>
        <v>20.639999999999997</v>
      </c>
      <c r="T48" s="4">
        <v>20.64</v>
      </c>
      <c r="U48" s="5">
        <f t="shared" si="2"/>
        <v>24.768000000000001</v>
      </c>
      <c r="V48" s="1" t="s">
        <v>31</v>
      </c>
    </row>
    <row r="49" spans="1:22" x14ac:dyDescent="0.2">
      <c r="A49" s="1">
        <v>1996762</v>
      </c>
      <c r="B49" s="1" t="s">
        <v>319</v>
      </c>
      <c r="C49" s="1" t="str">
        <f>"9788024620657"</f>
        <v>9788024620657</v>
      </c>
      <c r="D49" s="1" t="str">
        <f>"9788024627878"</f>
        <v>9788024627878</v>
      </c>
      <c r="E49" s="2" t="s">
        <v>62</v>
      </c>
      <c r="F49" s="2" t="s">
        <v>23</v>
      </c>
      <c r="G49" s="1" t="s">
        <v>24</v>
      </c>
      <c r="H49" s="1">
        <v>1</v>
      </c>
      <c r="J49" s="1" t="s">
        <v>320</v>
      </c>
      <c r="K49" s="1" t="s">
        <v>321</v>
      </c>
      <c r="L49" s="1" t="s">
        <v>322</v>
      </c>
      <c r="M49" s="1" t="s">
        <v>323</v>
      </c>
      <c r="N49" s="1" t="s">
        <v>324</v>
      </c>
      <c r="O49" s="1" t="s">
        <v>39</v>
      </c>
      <c r="P49" s="4">
        <v>13.76</v>
      </c>
      <c r="Q49" s="5">
        <f t="shared" si="0"/>
        <v>16.512</v>
      </c>
      <c r="R49" s="4">
        <v>17.2</v>
      </c>
      <c r="S49" s="5">
        <f t="shared" si="1"/>
        <v>20.639999999999997</v>
      </c>
      <c r="T49" s="4">
        <v>20.64</v>
      </c>
      <c r="U49" s="5">
        <f t="shared" si="2"/>
        <v>24.768000000000001</v>
      </c>
      <c r="V49" s="1" t="s">
        <v>31</v>
      </c>
    </row>
    <row r="50" spans="1:22" x14ac:dyDescent="0.2">
      <c r="A50" s="1">
        <v>1996763</v>
      </c>
      <c r="B50" s="1" t="s">
        <v>325</v>
      </c>
      <c r="C50" s="1" t="str">
        <f>"9788024622972"</f>
        <v>9788024622972</v>
      </c>
      <c r="D50" s="1" t="str">
        <f>"9788024623023"</f>
        <v>9788024623023</v>
      </c>
      <c r="E50" s="2" t="s">
        <v>84</v>
      </c>
      <c r="F50" s="2" t="s">
        <v>23</v>
      </c>
      <c r="G50" s="1" t="s">
        <v>24</v>
      </c>
      <c r="H50" s="1">
        <v>1</v>
      </c>
      <c r="J50" s="1" t="s">
        <v>326</v>
      </c>
      <c r="K50" s="1" t="s">
        <v>327</v>
      </c>
      <c r="L50" s="1" t="s">
        <v>328</v>
      </c>
      <c r="M50" s="1" t="s">
        <v>329</v>
      </c>
      <c r="N50" s="1" t="s">
        <v>330</v>
      </c>
      <c r="O50" s="1" t="s">
        <v>39</v>
      </c>
      <c r="P50" s="4">
        <v>19.27</v>
      </c>
      <c r="Q50" s="5">
        <f t="shared" si="0"/>
        <v>23.123999999999999</v>
      </c>
      <c r="R50" s="4">
        <v>24.08</v>
      </c>
      <c r="S50" s="5">
        <f t="shared" si="1"/>
        <v>28.895999999999997</v>
      </c>
      <c r="T50" s="4">
        <v>28.9</v>
      </c>
      <c r="U50" s="5">
        <f t="shared" si="2"/>
        <v>34.68</v>
      </c>
      <c r="V50" s="1" t="s">
        <v>31</v>
      </c>
    </row>
    <row r="51" spans="1:22" x14ac:dyDescent="0.2">
      <c r="A51" s="1">
        <v>1996764</v>
      </c>
      <c r="B51" s="1" t="s">
        <v>331</v>
      </c>
      <c r="C51" s="1" t="str">
        <f>"9788024622873"</f>
        <v>9788024622873</v>
      </c>
      <c r="D51" s="1" t="str">
        <f>"9788024623191"</f>
        <v>9788024623191</v>
      </c>
      <c r="E51" s="2" t="s">
        <v>332</v>
      </c>
      <c r="F51" s="2" t="s">
        <v>23</v>
      </c>
      <c r="G51" s="1" t="s">
        <v>24</v>
      </c>
      <c r="H51" s="1">
        <v>1</v>
      </c>
      <c r="J51" s="1" t="s">
        <v>333</v>
      </c>
      <c r="K51" s="1" t="s">
        <v>334</v>
      </c>
      <c r="L51" s="1" t="s">
        <v>335</v>
      </c>
      <c r="M51" s="1" t="s">
        <v>336</v>
      </c>
      <c r="N51" s="1" t="s">
        <v>337</v>
      </c>
      <c r="O51" s="1" t="s">
        <v>39</v>
      </c>
      <c r="P51" s="4">
        <v>13.76</v>
      </c>
      <c r="Q51" s="5">
        <f t="shared" si="0"/>
        <v>16.512</v>
      </c>
      <c r="R51" s="4">
        <v>17.2</v>
      </c>
      <c r="S51" s="5">
        <f t="shared" si="1"/>
        <v>20.639999999999997</v>
      </c>
      <c r="T51" s="4">
        <v>20.64</v>
      </c>
      <c r="U51" s="5">
        <f t="shared" si="2"/>
        <v>24.768000000000001</v>
      </c>
      <c r="V51" s="1" t="s">
        <v>31</v>
      </c>
    </row>
    <row r="52" spans="1:22" x14ac:dyDescent="0.2">
      <c r="A52" s="1">
        <v>1996767</v>
      </c>
      <c r="B52" s="1" t="s">
        <v>338</v>
      </c>
      <c r="C52" s="1" t="str">
        <f>"9788024618258"</f>
        <v>9788024618258</v>
      </c>
      <c r="D52" s="1" t="str">
        <f>"9788024623559"</f>
        <v>9788024623559</v>
      </c>
      <c r="E52" s="2" t="s">
        <v>339</v>
      </c>
      <c r="F52" s="2" t="s">
        <v>23</v>
      </c>
      <c r="G52" s="1" t="s">
        <v>24</v>
      </c>
      <c r="H52" s="1">
        <v>1</v>
      </c>
      <c r="J52" s="1" t="s">
        <v>340</v>
      </c>
      <c r="K52" s="1" t="s">
        <v>341</v>
      </c>
      <c r="L52" s="1" t="s">
        <v>342</v>
      </c>
      <c r="M52" s="1">
        <v>128</v>
      </c>
      <c r="N52" s="1" t="s">
        <v>343</v>
      </c>
      <c r="O52" s="1" t="s">
        <v>39</v>
      </c>
      <c r="P52" s="4">
        <v>13.76</v>
      </c>
      <c r="Q52" s="5">
        <f t="shared" si="0"/>
        <v>16.512</v>
      </c>
      <c r="R52" s="4">
        <v>17.2</v>
      </c>
      <c r="S52" s="5">
        <f t="shared" si="1"/>
        <v>20.639999999999997</v>
      </c>
      <c r="T52" s="4">
        <v>20.64</v>
      </c>
      <c r="U52" s="5">
        <f t="shared" si="2"/>
        <v>24.768000000000001</v>
      </c>
      <c r="V52" s="1" t="s">
        <v>31</v>
      </c>
    </row>
    <row r="53" spans="1:22" x14ac:dyDescent="0.2">
      <c r="A53" s="1">
        <v>1996768</v>
      </c>
      <c r="B53" s="1" t="s">
        <v>344</v>
      </c>
      <c r="C53" s="1" t="str">
        <f>"9788024623788"</f>
        <v>9788024623788</v>
      </c>
      <c r="D53" s="1" t="str">
        <f>"9788024623917"</f>
        <v>9788024623917</v>
      </c>
      <c r="E53" s="2" t="s">
        <v>55</v>
      </c>
      <c r="F53" s="2" t="s">
        <v>23</v>
      </c>
      <c r="G53" s="1" t="s">
        <v>24</v>
      </c>
      <c r="H53" s="1">
        <v>1</v>
      </c>
      <c r="J53" s="1" t="s">
        <v>345</v>
      </c>
      <c r="K53" s="1" t="s">
        <v>346</v>
      </c>
      <c r="L53" s="1" t="s">
        <v>347</v>
      </c>
      <c r="M53" s="1" t="s">
        <v>348</v>
      </c>
      <c r="N53" s="1" t="s">
        <v>349</v>
      </c>
      <c r="O53" s="1" t="s">
        <v>39</v>
      </c>
      <c r="P53" s="4">
        <v>13.76</v>
      </c>
      <c r="Q53" s="5">
        <f t="shared" si="0"/>
        <v>16.512</v>
      </c>
      <c r="R53" s="4">
        <v>17.2</v>
      </c>
      <c r="S53" s="5">
        <f t="shared" si="1"/>
        <v>20.639999999999997</v>
      </c>
      <c r="T53" s="4">
        <v>20.64</v>
      </c>
      <c r="U53" s="5">
        <f t="shared" si="2"/>
        <v>24.768000000000001</v>
      </c>
      <c r="V53" s="1" t="s">
        <v>31</v>
      </c>
    </row>
    <row r="54" spans="1:22" x14ac:dyDescent="0.2">
      <c r="A54" s="1">
        <v>1996770</v>
      </c>
      <c r="B54" s="1" t="s">
        <v>350</v>
      </c>
      <c r="C54" s="1" t="str">
        <f>"9788024619576"</f>
        <v>9788024619576</v>
      </c>
      <c r="D54" s="1" t="str">
        <f>"9788024624082"</f>
        <v>9788024624082</v>
      </c>
      <c r="E54" s="2" t="s">
        <v>351</v>
      </c>
      <c r="F54" s="2" t="s">
        <v>23</v>
      </c>
      <c r="G54" s="1" t="s">
        <v>24</v>
      </c>
      <c r="H54" s="1">
        <v>1</v>
      </c>
      <c r="J54" s="1" t="s">
        <v>352</v>
      </c>
      <c r="K54" s="1" t="s">
        <v>353</v>
      </c>
      <c r="L54" s="1" t="s">
        <v>354</v>
      </c>
      <c r="M54" s="1" t="s">
        <v>355</v>
      </c>
      <c r="N54" s="1" t="s">
        <v>356</v>
      </c>
      <c r="O54" s="1" t="s">
        <v>39</v>
      </c>
      <c r="P54" s="4">
        <v>17.43</v>
      </c>
      <c r="Q54" s="5">
        <f t="shared" si="0"/>
        <v>20.916</v>
      </c>
      <c r="R54" s="4">
        <v>21.79</v>
      </c>
      <c r="S54" s="5">
        <f t="shared" si="1"/>
        <v>26.148</v>
      </c>
      <c r="T54" s="4">
        <v>26.15</v>
      </c>
      <c r="U54" s="5">
        <f t="shared" si="2"/>
        <v>31.379999999999995</v>
      </c>
      <c r="V54" s="1" t="s">
        <v>31</v>
      </c>
    </row>
    <row r="55" spans="1:22" x14ac:dyDescent="0.2">
      <c r="A55" s="1">
        <v>1996771</v>
      </c>
      <c r="B55" s="1" t="s">
        <v>357</v>
      </c>
      <c r="C55" s="1" t="str">
        <f>"9788024622378"</f>
        <v>9788024622378</v>
      </c>
      <c r="D55" s="1" t="str">
        <f>"9788024624242"</f>
        <v>9788024624242</v>
      </c>
      <c r="E55" s="2" t="s">
        <v>55</v>
      </c>
      <c r="F55" s="2" t="s">
        <v>23</v>
      </c>
      <c r="G55" s="1" t="s">
        <v>24</v>
      </c>
      <c r="H55" s="1">
        <v>1</v>
      </c>
      <c r="J55" s="1" t="s">
        <v>358</v>
      </c>
      <c r="K55" s="1" t="s">
        <v>359</v>
      </c>
      <c r="L55" s="1" t="s">
        <v>360</v>
      </c>
      <c r="M55" s="1" t="s">
        <v>361</v>
      </c>
      <c r="N55" s="1" t="s">
        <v>362</v>
      </c>
      <c r="O55" s="1" t="s">
        <v>39</v>
      </c>
      <c r="P55" s="4">
        <v>13.76</v>
      </c>
      <c r="Q55" s="5">
        <f t="shared" si="0"/>
        <v>16.512</v>
      </c>
      <c r="R55" s="4">
        <v>17.2</v>
      </c>
      <c r="S55" s="5">
        <f t="shared" si="1"/>
        <v>20.639999999999997</v>
      </c>
      <c r="T55" s="4">
        <v>20.64</v>
      </c>
      <c r="U55" s="5">
        <f t="shared" si="2"/>
        <v>24.768000000000001</v>
      </c>
      <c r="V55" s="1" t="s">
        <v>31</v>
      </c>
    </row>
    <row r="56" spans="1:22" x14ac:dyDescent="0.2">
      <c r="A56" s="1">
        <v>1996773</v>
      </c>
      <c r="B56" s="1" t="s">
        <v>363</v>
      </c>
      <c r="C56" s="1" t="str">
        <f>"9788024624327"</f>
        <v>9788024624327</v>
      </c>
      <c r="D56" s="1" t="str">
        <f>"9788024624525"</f>
        <v>9788024624525</v>
      </c>
      <c r="E56" s="2" t="s">
        <v>109</v>
      </c>
      <c r="F56" s="2" t="s">
        <v>23</v>
      </c>
      <c r="G56" s="1" t="s">
        <v>24</v>
      </c>
      <c r="H56" s="1">
        <v>1</v>
      </c>
      <c r="J56" s="1" t="s">
        <v>364</v>
      </c>
      <c r="K56" s="1" t="s">
        <v>150</v>
      </c>
      <c r="L56" s="1" t="s">
        <v>365</v>
      </c>
      <c r="M56" s="1" t="s">
        <v>366</v>
      </c>
      <c r="N56" s="1" t="s">
        <v>367</v>
      </c>
      <c r="O56" s="1" t="s">
        <v>39</v>
      </c>
      <c r="P56" s="4">
        <v>20.18</v>
      </c>
      <c r="Q56" s="5">
        <f t="shared" si="0"/>
        <v>24.215999999999998</v>
      </c>
      <c r="R56" s="4">
        <v>25.23</v>
      </c>
      <c r="S56" s="5">
        <f t="shared" si="1"/>
        <v>30.276</v>
      </c>
      <c r="T56" s="4">
        <v>30.28</v>
      </c>
      <c r="U56" s="5">
        <f t="shared" si="2"/>
        <v>36.335999999999999</v>
      </c>
      <c r="V56" s="1" t="s">
        <v>31</v>
      </c>
    </row>
    <row r="57" spans="1:22" x14ac:dyDescent="0.2">
      <c r="A57" s="1">
        <v>1996774</v>
      </c>
      <c r="B57" s="1" t="s">
        <v>368</v>
      </c>
      <c r="C57" s="1" t="str">
        <f>"9788024623801"</f>
        <v>9788024623801</v>
      </c>
      <c r="D57" s="1" t="str">
        <f>"9788024624549"</f>
        <v>9788024624549</v>
      </c>
      <c r="E57" s="2" t="s">
        <v>41</v>
      </c>
      <c r="F57" s="2" t="s">
        <v>23</v>
      </c>
      <c r="G57" s="1" t="s">
        <v>24</v>
      </c>
      <c r="H57" s="1">
        <v>1</v>
      </c>
      <c r="J57" s="1" t="s">
        <v>369</v>
      </c>
      <c r="K57" s="1" t="s">
        <v>43</v>
      </c>
      <c r="L57" s="1" t="s">
        <v>370</v>
      </c>
      <c r="M57" s="1" t="s">
        <v>371</v>
      </c>
      <c r="N57" s="1" t="s">
        <v>372</v>
      </c>
      <c r="O57" s="1" t="s">
        <v>39</v>
      </c>
      <c r="P57" s="4">
        <v>13.76</v>
      </c>
      <c r="Q57" s="5">
        <f t="shared" si="0"/>
        <v>16.512</v>
      </c>
      <c r="R57" s="4">
        <v>17.2</v>
      </c>
      <c r="S57" s="5">
        <f t="shared" si="1"/>
        <v>20.639999999999997</v>
      </c>
      <c r="T57" s="4">
        <v>20.64</v>
      </c>
      <c r="U57" s="5">
        <f t="shared" si="2"/>
        <v>24.768000000000001</v>
      </c>
      <c r="V57" s="1" t="s">
        <v>31</v>
      </c>
    </row>
    <row r="58" spans="1:22" x14ac:dyDescent="0.2">
      <c r="A58" s="1">
        <v>1996775</v>
      </c>
      <c r="B58" s="1" t="s">
        <v>373</v>
      </c>
      <c r="C58" s="1" t="str">
        <f>"9788024624648"</f>
        <v>9788024624648</v>
      </c>
      <c r="D58" s="1" t="str">
        <f>"9788024624716"</f>
        <v>9788024624716</v>
      </c>
      <c r="E58" s="2" t="s">
        <v>22</v>
      </c>
      <c r="F58" s="2" t="s">
        <v>23</v>
      </c>
      <c r="G58" s="1" t="s">
        <v>24</v>
      </c>
      <c r="H58" s="1">
        <v>1</v>
      </c>
      <c r="J58" s="1" t="s">
        <v>340</v>
      </c>
      <c r="K58" s="1" t="s">
        <v>374</v>
      </c>
      <c r="L58" s="1" t="s">
        <v>375</v>
      </c>
      <c r="M58" s="1">
        <v>612</v>
      </c>
      <c r="N58" s="1" t="s">
        <v>376</v>
      </c>
      <c r="O58" s="1" t="s">
        <v>39</v>
      </c>
      <c r="P58" s="4">
        <v>13.76</v>
      </c>
      <c r="Q58" s="5">
        <f t="shared" si="0"/>
        <v>16.512</v>
      </c>
      <c r="R58" s="4">
        <v>17.2</v>
      </c>
      <c r="S58" s="5">
        <f t="shared" si="1"/>
        <v>20.639999999999997</v>
      </c>
      <c r="T58" s="4">
        <v>20.64</v>
      </c>
      <c r="U58" s="5">
        <f t="shared" si="2"/>
        <v>24.768000000000001</v>
      </c>
      <c r="V58" s="1" t="s">
        <v>31</v>
      </c>
    </row>
    <row r="59" spans="1:22" x14ac:dyDescent="0.2">
      <c r="A59" s="1">
        <v>1996776</v>
      </c>
      <c r="B59" s="1" t="s">
        <v>377</v>
      </c>
      <c r="C59" s="1" t="str">
        <f>"9788024624792"</f>
        <v>9788024624792</v>
      </c>
      <c r="D59" s="1" t="str">
        <f>"9788024624860"</f>
        <v>9788024624860</v>
      </c>
      <c r="E59" s="2" t="s">
        <v>109</v>
      </c>
      <c r="F59" s="2" t="s">
        <v>23</v>
      </c>
      <c r="G59" s="1" t="s">
        <v>24</v>
      </c>
      <c r="H59" s="1">
        <v>1</v>
      </c>
      <c r="J59" s="1" t="s">
        <v>378</v>
      </c>
      <c r="K59" s="1" t="s">
        <v>64</v>
      </c>
      <c r="L59" s="1" t="s">
        <v>379</v>
      </c>
      <c r="M59" s="1" t="s">
        <v>380</v>
      </c>
      <c r="N59" s="1" t="s">
        <v>381</v>
      </c>
      <c r="O59" s="1" t="s">
        <v>39</v>
      </c>
      <c r="P59" s="4">
        <v>13.76</v>
      </c>
      <c r="Q59" s="5">
        <f t="shared" si="0"/>
        <v>16.512</v>
      </c>
      <c r="R59" s="4">
        <v>17.2</v>
      </c>
      <c r="S59" s="5">
        <f t="shared" si="1"/>
        <v>20.639999999999997</v>
      </c>
      <c r="T59" s="4">
        <v>20.64</v>
      </c>
      <c r="U59" s="5">
        <f t="shared" si="2"/>
        <v>24.768000000000001</v>
      </c>
      <c r="V59" s="1" t="s">
        <v>31</v>
      </c>
    </row>
    <row r="60" spans="1:22" x14ac:dyDescent="0.2">
      <c r="A60" s="1">
        <v>1996778</v>
      </c>
      <c r="B60" s="1" t="s">
        <v>382</v>
      </c>
      <c r="C60" s="1" t="str">
        <f>"9788024622163"</f>
        <v>9788024622163</v>
      </c>
      <c r="D60" s="1" t="str">
        <f>"9788024625829"</f>
        <v>9788024625829</v>
      </c>
      <c r="E60" s="2" t="s">
        <v>84</v>
      </c>
      <c r="F60" s="2" t="s">
        <v>23</v>
      </c>
      <c r="G60" s="1" t="s">
        <v>24</v>
      </c>
      <c r="H60" s="1">
        <v>1</v>
      </c>
      <c r="I60" s="1" t="s">
        <v>187</v>
      </c>
      <c r="J60" s="1" t="s">
        <v>383</v>
      </c>
      <c r="K60" s="1" t="s">
        <v>72</v>
      </c>
      <c r="L60" s="1" t="s">
        <v>384</v>
      </c>
      <c r="M60" s="1" t="s">
        <v>385</v>
      </c>
      <c r="N60" s="1" t="s">
        <v>386</v>
      </c>
      <c r="O60" s="1" t="s">
        <v>30</v>
      </c>
      <c r="P60" s="4">
        <v>22.94</v>
      </c>
      <c r="Q60" s="5">
        <f t="shared" si="0"/>
        <v>27.528000000000002</v>
      </c>
      <c r="R60" s="4">
        <v>28.67</v>
      </c>
      <c r="S60" s="5">
        <f t="shared" si="1"/>
        <v>34.404000000000003</v>
      </c>
      <c r="T60" s="4">
        <v>34.4</v>
      </c>
      <c r="U60" s="5">
        <f t="shared" si="2"/>
        <v>41.279999999999994</v>
      </c>
      <c r="V60" s="1" t="s">
        <v>31</v>
      </c>
    </row>
    <row r="61" spans="1:22" x14ac:dyDescent="0.2">
      <c r="A61" s="1">
        <v>1996779</v>
      </c>
      <c r="B61" s="1" t="s">
        <v>387</v>
      </c>
      <c r="C61" s="1" t="str">
        <f>"9788024625973"</f>
        <v>9788024625973</v>
      </c>
      <c r="D61" s="1" t="str">
        <f>"9788024626079"</f>
        <v>9788024626079</v>
      </c>
      <c r="E61" s="2" t="s">
        <v>206</v>
      </c>
      <c r="F61" s="2" t="s">
        <v>23</v>
      </c>
      <c r="G61" s="1" t="s">
        <v>24</v>
      </c>
      <c r="H61" s="1">
        <v>1</v>
      </c>
      <c r="J61" s="1" t="s">
        <v>388</v>
      </c>
      <c r="K61" s="1" t="s">
        <v>124</v>
      </c>
      <c r="L61" s="1" t="s">
        <v>389</v>
      </c>
      <c r="M61" s="1" t="s">
        <v>390</v>
      </c>
      <c r="N61" s="1" t="s">
        <v>391</v>
      </c>
      <c r="O61" s="1" t="s">
        <v>39</v>
      </c>
      <c r="P61" s="4">
        <v>16.510000000000002</v>
      </c>
      <c r="Q61" s="5">
        <f t="shared" si="0"/>
        <v>19.812000000000001</v>
      </c>
      <c r="R61" s="4">
        <v>20.64</v>
      </c>
      <c r="S61" s="5">
        <f t="shared" si="1"/>
        <v>24.768000000000001</v>
      </c>
      <c r="T61" s="4">
        <v>24.77</v>
      </c>
      <c r="U61" s="5">
        <f t="shared" si="2"/>
        <v>29.723999999999997</v>
      </c>
      <c r="V61" s="1" t="s">
        <v>31</v>
      </c>
    </row>
    <row r="62" spans="1:22" x14ac:dyDescent="0.2">
      <c r="A62" s="1">
        <v>1996780</v>
      </c>
      <c r="B62" s="1" t="s">
        <v>392</v>
      </c>
      <c r="C62" s="1" t="str">
        <f>"9788024622538"</f>
        <v>9788024622538</v>
      </c>
      <c r="D62" s="1" t="str">
        <f>"9788024626420"</f>
        <v>9788024626420</v>
      </c>
      <c r="E62" s="2" t="s">
        <v>116</v>
      </c>
      <c r="F62" s="2" t="s">
        <v>23</v>
      </c>
      <c r="G62" s="1" t="s">
        <v>24</v>
      </c>
      <c r="H62" s="1">
        <v>1</v>
      </c>
      <c r="J62" s="1" t="s">
        <v>393</v>
      </c>
      <c r="K62" s="1" t="s">
        <v>124</v>
      </c>
      <c r="L62" s="1" t="s">
        <v>394</v>
      </c>
      <c r="M62" s="1" t="s">
        <v>395</v>
      </c>
      <c r="N62" s="1" t="s">
        <v>396</v>
      </c>
      <c r="O62" s="1" t="s">
        <v>39</v>
      </c>
      <c r="P62" s="4">
        <v>13.76</v>
      </c>
      <c r="Q62" s="5">
        <f t="shared" si="0"/>
        <v>16.512</v>
      </c>
      <c r="R62" s="4">
        <v>17.2</v>
      </c>
      <c r="S62" s="5">
        <f t="shared" si="1"/>
        <v>20.639999999999997</v>
      </c>
      <c r="T62" s="4">
        <v>20.64</v>
      </c>
      <c r="U62" s="5">
        <f t="shared" si="2"/>
        <v>24.768000000000001</v>
      </c>
      <c r="V62" s="1" t="s">
        <v>31</v>
      </c>
    </row>
    <row r="63" spans="1:22" x14ac:dyDescent="0.2">
      <c r="A63" s="1">
        <v>1996782</v>
      </c>
      <c r="B63" s="1" t="s">
        <v>397</v>
      </c>
      <c r="C63" s="1" t="str">
        <f>"9788024627953"</f>
        <v>9788024627953</v>
      </c>
      <c r="D63" s="1" t="str">
        <f>"9788024627960"</f>
        <v>9788024627960</v>
      </c>
      <c r="E63" s="2" t="s">
        <v>122</v>
      </c>
      <c r="F63" s="2" t="s">
        <v>23</v>
      </c>
      <c r="G63" s="1" t="s">
        <v>24</v>
      </c>
      <c r="H63" s="1">
        <v>1</v>
      </c>
      <c r="J63" s="1" t="s">
        <v>398</v>
      </c>
      <c r="K63" s="1" t="s">
        <v>399</v>
      </c>
      <c r="L63" s="1" t="s">
        <v>400</v>
      </c>
      <c r="M63" s="1" t="s">
        <v>401</v>
      </c>
      <c r="N63" s="1" t="s">
        <v>402</v>
      </c>
      <c r="O63" s="1" t="s">
        <v>39</v>
      </c>
      <c r="P63" s="4">
        <v>13.76</v>
      </c>
      <c r="Q63" s="5">
        <f t="shared" si="0"/>
        <v>16.512</v>
      </c>
      <c r="R63" s="4">
        <v>17.2</v>
      </c>
      <c r="S63" s="5">
        <f t="shared" si="1"/>
        <v>20.639999999999997</v>
      </c>
      <c r="T63" s="4">
        <v>20.64</v>
      </c>
      <c r="U63" s="5">
        <f t="shared" si="2"/>
        <v>24.768000000000001</v>
      </c>
      <c r="V63" s="1" t="s">
        <v>31</v>
      </c>
    </row>
    <row r="64" spans="1:22" x14ac:dyDescent="0.2">
      <c r="A64" s="1">
        <v>1996783</v>
      </c>
      <c r="B64" s="1" t="s">
        <v>403</v>
      </c>
      <c r="C64" s="1" t="str">
        <f>"9788024619613"</f>
        <v>9788024619613</v>
      </c>
      <c r="D64" s="1" t="str">
        <f>"9788024623368"</f>
        <v>9788024623368</v>
      </c>
      <c r="E64" s="2" t="s">
        <v>404</v>
      </c>
      <c r="F64" s="2" t="s">
        <v>23</v>
      </c>
      <c r="G64" s="1" t="s">
        <v>24</v>
      </c>
      <c r="H64" s="1">
        <v>1</v>
      </c>
      <c r="J64" s="1" t="s">
        <v>405</v>
      </c>
      <c r="K64" s="1" t="s">
        <v>406</v>
      </c>
      <c r="L64" s="1" t="s">
        <v>407</v>
      </c>
      <c r="M64" s="1" t="s">
        <v>408</v>
      </c>
      <c r="N64" s="1" t="s">
        <v>409</v>
      </c>
      <c r="O64" s="1" t="s">
        <v>39</v>
      </c>
      <c r="P64" s="4">
        <v>13.76</v>
      </c>
      <c r="Q64" s="5">
        <f t="shared" si="0"/>
        <v>16.512</v>
      </c>
      <c r="R64" s="4">
        <v>17.2</v>
      </c>
      <c r="S64" s="5">
        <f t="shared" si="1"/>
        <v>20.639999999999997</v>
      </c>
      <c r="T64" s="4">
        <v>20.64</v>
      </c>
      <c r="U64" s="5">
        <f t="shared" si="2"/>
        <v>24.768000000000001</v>
      </c>
      <c r="V64" s="1" t="s">
        <v>31</v>
      </c>
    </row>
    <row r="65" spans="1:22" x14ac:dyDescent="0.2">
      <c r="A65" s="1">
        <v>1996787</v>
      </c>
      <c r="B65" s="1" t="s">
        <v>410</v>
      </c>
      <c r="C65" s="1" t="str">
        <f>"9788024621234"</f>
        <v>9788024621234</v>
      </c>
      <c r="D65" s="1" t="str">
        <f>"9788024623870"</f>
        <v>9788024623870</v>
      </c>
      <c r="E65" s="2" t="s">
        <v>212</v>
      </c>
      <c r="F65" s="2" t="s">
        <v>23</v>
      </c>
      <c r="G65" s="1" t="s">
        <v>24</v>
      </c>
      <c r="H65" s="1">
        <v>2</v>
      </c>
      <c r="J65" s="1" t="s">
        <v>411</v>
      </c>
      <c r="K65" s="1" t="s">
        <v>412</v>
      </c>
      <c r="L65" s="1" t="s">
        <v>413</v>
      </c>
      <c r="M65" s="1">
        <v>515</v>
      </c>
      <c r="N65" s="1" t="s">
        <v>414</v>
      </c>
      <c r="O65" s="1" t="s">
        <v>39</v>
      </c>
      <c r="P65" s="4">
        <v>13.76</v>
      </c>
      <c r="Q65" s="5">
        <f t="shared" si="0"/>
        <v>16.512</v>
      </c>
      <c r="R65" s="4">
        <v>17.2</v>
      </c>
      <c r="S65" s="5">
        <f t="shared" si="1"/>
        <v>20.639999999999997</v>
      </c>
      <c r="T65" s="4">
        <v>20.64</v>
      </c>
      <c r="U65" s="5">
        <f t="shared" si="2"/>
        <v>24.768000000000001</v>
      </c>
      <c r="V65" s="1" t="s">
        <v>31</v>
      </c>
    </row>
    <row r="66" spans="1:22" x14ac:dyDescent="0.2">
      <c r="A66" s="1">
        <v>1996788</v>
      </c>
      <c r="B66" s="1" t="s">
        <v>415</v>
      </c>
      <c r="C66" s="1" t="str">
        <f>"9788024618494"</f>
        <v>9788024618494</v>
      </c>
      <c r="D66" s="1" t="str">
        <f>"9788024624044"</f>
        <v>9788024624044</v>
      </c>
      <c r="E66" s="2" t="s">
        <v>148</v>
      </c>
      <c r="F66" s="2" t="s">
        <v>23</v>
      </c>
      <c r="G66" s="1" t="s">
        <v>24</v>
      </c>
      <c r="H66" s="1">
        <v>1</v>
      </c>
      <c r="J66" s="1" t="s">
        <v>416</v>
      </c>
      <c r="K66" s="1" t="s">
        <v>111</v>
      </c>
      <c r="L66" s="1" t="s">
        <v>417</v>
      </c>
      <c r="M66" s="1" t="s">
        <v>418</v>
      </c>
      <c r="N66" s="1" t="s">
        <v>419</v>
      </c>
      <c r="O66" s="1" t="s">
        <v>39</v>
      </c>
      <c r="P66" s="4">
        <v>20.18</v>
      </c>
      <c r="Q66" s="5">
        <f t="shared" si="0"/>
        <v>24.215999999999998</v>
      </c>
      <c r="R66" s="4">
        <v>25.23</v>
      </c>
      <c r="S66" s="5">
        <f t="shared" si="1"/>
        <v>30.276</v>
      </c>
      <c r="T66" s="4">
        <v>30.28</v>
      </c>
      <c r="U66" s="5">
        <f t="shared" si="2"/>
        <v>36.335999999999999</v>
      </c>
      <c r="V66" s="1" t="s">
        <v>31</v>
      </c>
    </row>
    <row r="67" spans="1:22" x14ac:dyDescent="0.2">
      <c r="A67" s="1">
        <v>1996789</v>
      </c>
      <c r="B67" s="1" t="s">
        <v>420</v>
      </c>
      <c r="C67" s="1" t="str">
        <f>"9788024625027"</f>
        <v>9788024625027</v>
      </c>
      <c r="D67" s="1" t="str">
        <f>"9788024625362"</f>
        <v>9788024625362</v>
      </c>
      <c r="E67" s="2" t="s">
        <v>421</v>
      </c>
      <c r="F67" s="2" t="s">
        <v>23</v>
      </c>
      <c r="G67" s="1" t="s">
        <v>24</v>
      </c>
      <c r="H67" s="1">
        <v>1</v>
      </c>
      <c r="J67" s="1" t="s">
        <v>422</v>
      </c>
      <c r="K67" s="1" t="s">
        <v>72</v>
      </c>
      <c r="L67" s="1" t="s">
        <v>423</v>
      </c>
      <c r="M67" s="1" t="s">
        <v>424</v>
      </c>
      <c r="N67" s="1" t="s">
        <v>425</v>
      </c>
      <c r="O67" s="1" t="s">
        <v>39</v>
      </c>
      <c r="P67" s="4">
        <v>13.76</v>
      </c>
      <c r="Q67" s="5">
        <f t="shared" ref="Q67:Q130" si="3">P67*1.2</f>
        <v>16.512</v>
      </c>
      <c r="R67" s="4">
        <v>17.2</v>
      </c>
      <c r="S67" s="5">
        <f t="shared" ref="S67:S130" si="4">R67*1.2</f>
        <v>20.639999999999997</v>
      </c>
      <c r="T67" s="4">
        <v>20.64</v>
      </c>
      <c r="U67" s="5">
        <f t="shared" ref="U67:U130" si="5">T67*1.2</f>
        <v>24.768000000000001</v>
      </c>
      <c r="V67" s="1" t="s">
        <v>31</v>
      </c>
    </row>
    <row r="68" spans="1:22" x14ac:dyDescent="0.2">
      <c r="A68" s="1">
        <v>1996790</v>
      </c>
      <c r="B68" s="1" t="s">
        <v>426</v>
      </c>
      <c r="C68" s="1" t="str">
        <f>"9788024612072"</f>
        <v>9788024612072</v>
      </c>
      <c r="D68" s="1" t="str">
        <f>"9788024625560"</f>
        <v>9788024625560</v>
      </c>
      <c r="E68" s="2" t="s">
        <v>427</v>
      </c>
      <c r="F68" s="2" t="s">
        <v>23</v>
      </c>
      <c r="G68" s="1" t="s">
        <v>24</v>
      </c>
      <c r="H68" s="1">
        <v>1</v>
      </c>
      <c r="J68" s="1" t="s">
        <v>428</v>
      </c>
      <c r="K68" s="1" t="s">
        <v>79</v>
      </c>
      <c r="L68" s="1" t="s">
        <v>429</v>
      </c>
      <c r="M68" s="1" t="s">
        <v>430</v>
      </c>
      <c r="N68" s="1" t="s">
        <v>431</v>
      </c>
      <c r="O68" s="1" t="s">
        <v>39</v>
      </c>
      <c r="P68" s="4">
        <v>13.76</v>
      </c>
      <c r="Q68" s="5">
        <f t="shared" si="3"/>
        <v>16.512</v>
      </c>
      <c r="R68" s="4">
        <v>17.2</v>
      </c>
      <c r="S68" s="5">
        <f t="shared" si="4"/>
        <v>20.639999999999997</v>
      </c>
      <c r="T68" s="4">
        <v>20.64</v>
      </c>
      <c r="U68" s="5">
        <f t="shared" si="5"/>
        <v>24.768000000000001</v>
      </c>
      <c r="V68" s="1" t="s">
        <v>31</v>
      </c>
    </row>
    <row r="69" spans="1:22" x14ac:dyDescent="0.2">
      <c r="A69" s="1">
        <v>1996791</v>
      </c>
      <c r="B69" s="1" t="s">
        <v>432</v>
      </c>
      <c r="C69" s="1" t="str">
        <f>"9788024614472"</f>
        <v>9788024614472</v>
      </c>
      <c r="D69" s="1" t="str">
        <f>"9788024625751"</f>
        <v>9788024625751</v>
      </c>
      <c r="E69" s="2" t="s">
        <v>433</v>
      </c>
      <c r="F69" s="2" t="s">
        <v>23</v>
      </c>
      <c r="G69" s="1" t="s">
        <v>24</v>
      </c>
      <c r="H69" s="1">
        <v>1</v>
      </c>
      <c r="I69" s="1" t="s">
        <v>187</v>
      </c>
      <c r="J69" s="1" t="s">
        <v>434</v>
      </c>
      <c r="K69" s="1" t="s">
        <v>181</v>
      </c>
      <c r="L69" s="1" t="s">
        <v>435</v>
      </c>
      <c r="M69" s="1" t="s">
        <v>436</v>
      </c>
      <c r="N69" s="1" t="s">
        <v>437</v>
      </c>
      <c r="O69" s="1" t="s">
        <v>30</v>
      </c>
      <c r="P69" s="4">
        <v>18.350000000000001</v>
      </c>
      <c r="Q69" s="5">
        <f t="shared" si="3"/>
        <v>22.02</v>
      </c>
      <c r="R69" s="4">
        <v>22.94</v>
      </c>
      <c r="S69" s="5">
        <f t="shared" si="4"/>
        <v>27.528000000000002</v>
      </c>
      <c r="T69" s="4">
        <v>27.52</v>
      </c>
      <c r="U69" s="5">
        <f t="shared" si="5"/>
        <v>33.024000000000001</v>
      </c>
      <c r="V69" s="1" t="s">
        <v>31</v>
      </c>
    </row>
    <row r="70" spans="1:22" x14ac:dyDescent="0.2">
      <c r="A70" s="1">
        <v>1996792</v>
      </c>
      <c r="B70" s="1" t="s">
        <v>438</v>
      </c>
      <c r="C70" s="1" t="str">
        <f>"9788024621289"</f>
        <v>9788024621289</v>
      </c>
      <c r="D70" s="1" t="str">
        <f>"9788024626512"</f>
        <v>9788024626512</v>
      </c>
      <c r="E70" s="2" t="s">
        <v>199</v>
      </c>
      <c r="F70" s="2" t="s">
        <v>23</v>
      </c>
      <c r="G70" s="1" t="s">
        <v>24</v>
      </c>
      <c r="H70" s="1">
        <v>1</v>
      </c>
      <c r="J70" s="1" t="s">
        <v>439</v>
      </c>
      <c r="K70" s="1" t="s">
        <v>124</v>
      </c>
      <c r="L70" s="1" t="s">
        <v>440</v>
      </c>
      <c r="M70" s="1" t="s">
        <v>126</v>
      </c>
      <c r="N70" s="1" t="s">
        <v>441</v>
      </c>
      <c r="O70" s="1" t="s">
        <v>39</v>
      </c>
      <c r="P70" s="4">
        <v>13.76</v>
      </c>
      <c r="Q70" s="5">
        <f t="shared" si="3"/>
        <v>16.512</v>
      </c>
      <c r="R70" s="4">
        <v>17.2</v>
      </c>
      <c r="S70" s="5">
        <f t="shared" si="4"/>
        <v>20.639999999999997</v>
      </c>
      <c r="T70" s="4">
        <v>20.64</v>
      </c>
      <c r="U70" s="5">
        <f t="shared" si="5"/>
        <v>24.768000000000001</v>
      </c>
      <c r="V70" s="1" t="s">
        <v>31</v>
      </c>
    </row>
    <row r="71" spans="1:22" x14ac:dyDescent="0.2">
      <c r="A71" s="1">
        <v>1996793</v>
      </c>
      <c r="B71" s="1" t="s">
        <v>442</v>
      </c>
      <c r="C71" s="1" t="str">
        <f>"9788024626215"</f>
        <v>9788024626215</v>
      </c>
      <c r="D71" s="1" t="str">
        <f>"9788024626543"</f>
        <v>9788024626543</v>
      </c>
      <c r="E71" s="2" t="s">
        <v>443</v>
      </c>
      <c r="F71" s="2" t="s">
        <v>23</v>
      </c>
      <c r="G71" s="1" t="s">
        <v>24</v>
      </c>
      <c r="H71" s="1">
        <v>1</v>
      </c>
      <c r="J71" s="1" t="s">
        <v>444</v>
      </c>
      <c r="K71" s="1" t="s">
        <v>399</v>
      </c>
      <c r="L71" s="1" t="s">
        <v>445</v>
      </c>
      <c r="M71" s="1" t="s">
        <v>446</v>
      </c>
      <c r="N71" s="1" t="s">
        <v>447</v>
      </c>
      <c r="O71" s="1" t="s">
        <v>39</v>
      </c>
      <c r="P71" s="4">
        <v>17.43</v>
      </c>
      <c r="Q71" s="5">
        <f t="shared" si="3"/>
        <v>20.916</v>
      </c>
      <c r="R71" s="4">
        <v>21.79</v>
      </c>
      <c r="S71" s="5">
        <f t="shared" si="4"/>
        <v>26.148</v>
      </c>
      <c r="T71" s="4">
        <v>26.15</v>
      </c>
      <c r="U71" s="5">
        <f t="shared" si="5"/>
        <v>31.379999999999995</v>
      </c>
      <c r="V71" s="1" t="s">
        <v>31</v>
      </c>
    </row>
    <row r="72" spans="1:22" x14ac:dyDescent="0.2">
      <c r="A72" s="1">
        <v>1996794</v>
      </c>
      <c r="B72" s="1" t="s">
        <v>448</v>
      </c>
      <c r="C72" s="1" t="str">
        <f>"9788024626208"</f>
        <v>9788024626208</v>
      </c>
      <c r="D72" s="1" t="str">
        <f>"9788024626550"</f>
        <v>9788024626550</v>
      </c>
      <c r="E72" s="2" t="s">
        <v>84</v>
      </c>
      <c r="F72" s="2" t="s">
        <v>23</v>
      </c>
      <c r="G72" s="1" t="s">
        <v>24</v>
      </c>
      <c r="H72" s="1">
        <v>1</v>
      </c>
      <c r="J72" s="1" t="s">
        <v>444</v>
      </c>
      <c r="K72" s="1" t="s">
        <v>449</v>
      </c>
      <c r="L72" s="1" t="s">
        <v>450</v>
      </c>
      <c r="M72" s="1" t="s">
        <v>446</v>
      </c>
      <c r="N72" s="1" t="s">
        <v>447</v>
      </c>
      <c r="O72" s="1" t="s">
        <v>30</v>
      </c>
      <c r="P72" s="4">
        <v>17.43</v>
      </c>
      <c r="Q72" s="5">
        <f t="shared" si="3"/>
        <v>20.916</v>
      </c>
      <c r="R72" s="4">
        <v>21.79</v>
      </c>
      <c r="S72" s="5">
        <f t="shared" si="4"/>
        <v>26.148</v>
      </c>
      <c r="T72" s="4">
        <v>26.15</v>
      </c>
      <c r="U72" s="5">
        <f t="shared" si="5"/>
        <v>31.379999999999995</v>
      </c>
      <c r="V72" s="1" t="s">
        <v>31</v>
      </c>
    </row>
    <row r="73" spans="1:22" x14ac:dyDescent="0.2">
      <c r="A73" s="1">
        <v>1996795</v>
      </c>
      <c r="B73" s="1" t="s">
        <v>451</v>
      </c>
      <c r="C73" s="1" t="str">
        <f>"9788024623115"</f>
        <v>9788024623115</v>
      </c>
      <c r="D73" s="1" t="str">
        <f>"9788024626642"</f>
        <v>9788024626642</v>
      </c>
      <c r="E73" s="2" t="s">
        <v>55</v>
      </c>
      <c r="F73" s="2" t="s">
        <v>23</v>
      </c>
      <c r="G73" s="1" t="s">
        <v>24</v>
      </c>
      <c r="H73" s="1">
        <v>1</v>
      </c>
      <c r="J73" s="1" t="s">
        <v>439</v>
      </c>
      <c r="K73" s="1" t="s">
        <v>124</v>
      </c>
      <c r="L73" s="1" t="s">
        <v>452</v>
      </c>
      <c r="M73" s="1" t="s">
        <v>126</v>
      </c>
      <c r="N73" s="1" t="s">
        <v>453</v>
      </c>
      <c r="O73" s="1" t="s">
        <v>30</v>
      </c>
      <c r="P73" s="4">
        <v>13.76</v>
      </c>
      <c r="Q73" s="5">
        <f t="shared" si="3"/>
        <v>16.512</v>
      </c>
      <c r="R73" s="4">
        <v>17.2</v>
      </c>
      <c r="S73" s="5">
        <f t="shared" si="4"/>
        <v>20.639999999999997</v>
      </c>
      <c r="T73" s="4">
        <v>20.64</v>
      </c>
      <c r="U73" s="5">
        <f t="shared" si="5"/>
        <v>24.768000000000001</v>
      </c>
      <c r="V73" s="1" t="s">
        <v>31</v>
      </c>
    </row>
    <row r="74" spans="1:22" x14ac:dyDescent="0.2">
      <c r="A74" s="1">
        <v>1996796</v>
      </c>
      <c r="B74" s="1" t="s">
        <v>454</v>
      </c>
      <c r="C74" s="1" t="str">
        <f>"9788024625010"</f>
        <v>9788024625010</v>
      </c>
      <c r="D74" s="1" t="str">
        <f>"9788024626949"</f>
        <v>9788024626949</v>
      </c>
      <c r="E74" s="2" t="s">
        <v>206</v>
      </c>
      <c r="F74" s="2" t="s">
        <v>455</v>
      </c>
      <c r="G74" s="1" t="s">
        <v>24</v>
      </c>
      <c r="H74" s="1">
        <v>2</v>
      </c>
      <c r="J74" s="1" t="s">
        <v>213</v>
      </c>
      <c r="K74" s="1" t="s">
        <v>36</v>
      </c>
      <c r="L74" s="1" t="s">
        <v>456</v>
      </c>
      <c r="M74" s="1" t="s">
        <v>457</v>
      </c>
      <c r="N74" s="1" t="s">
        <v>458</v>
      </c>
      <c r="O74" s="1" t="s">
        <v>39</v>
      </c>
      <c r="P74" s="4">
        <v>13.76</v>
      </c>
      <c r="Q74" s="5">
        <f t="shared" si="3"/>
        <v>16.512</v>
      </c>
      <c r="R74" s="4">
        <v>17.2</v>
      </c>
      <c r="S74" s="5">
        <f t="shared" si="4"/>
        <v>20.639999999999997</v>
      </c>
      <c r="T74" s="4">
        <v>20.64</v>
      </c>
      <c r="U74" s="5">
        <f t="shared" si="5"/>
        <v>24.768000000000001</v>
      </c>
      <c r="V74" s="1" t="s">
        <v>31</v>
      </c>
    </row>
    <row r="75" spans="1:22" x14ac:dyDescent="0.2">
      <c r="A75" s="1">
        <v>1996798</v>
      </c>
      <c r="B75" s="1" t="s">
        <v>459</v>
      </c>
      <c r="C75" s="1" t="str">
        <f>"9788024621685"</f>
        <v>9788024621685</v>
      </c>
      <c r="D75" s="1" t="str">
        <f>"9788024627243"</f>
        <v>9788024627243</v>
      </c>
      <c r="E75" s="2" t="s">
        <v>22</v>
      </c>
      <c r="F75" s="2" t="s">
        <v>23</v>
      </c>
      <c r="G75" s="1" t="s">
        <v>24</v>
      </c>
      <c r="H75" s="1">
        <v>1</v>
      </c>
      <c r="J75" s="1" t="s">
        <v>460</v>
      </c>
      <c r="K75" s="1" t="s">
        <v>327</v>
      </c>
      <c r="L75" s="1" t="s">
        <v>461</v>
      </c>
      <c r="M75" s="1" t="s">
        <v>462</v>
      </c>
      <c r="N75" s="1" t="s">
        <v>463</v>
      </c>
      <c r="O75" s="1" t="s">
        <v>39</v>
      </c>
      <c r="P75" s="4">
        <v>22.02</v>
      </c>
      <c r="Q75" s="5">
        <f t="shared" si="3"/>
        <v>26.423999999999999</v>
      </c>
      <c r="R75" s="4">
        <v>27.52</v>
      </c>
      <c r="S75" s="5">
        <f t="shared" si="4"/>
        <v>33.024000000000001</v>
      </c>
      <c r="T75" s="4">
        <v>33.03</v>
      </c>
      <c r="U75" s="5">
        <f t="shared" si="5"/>
        <v>39.636000000000003</v>
      </c>
      <c r="V75" s="1" t="s">
        <v>31</v>
      </c>
    </row>
    <row r="76" spans="1:22" x14ac:dyDescent="0.2">
      <c r="A76" s="1">
        <v>1996800</v>
      </c>
      <c r="B76" s="1" t="s">
        <v>464</v>
      </c>
      <c r="C76" s="1" t="str">
        <f>"9788024620329"</f>
        <v>9788024620329</v>
      </c>
      <c r="D76" s="1" t="str">
        <f>"9788024627731"</f>
        <v>9788024627731</v>
      </c>
      <c r="E76" s="2" t="s">
        <v>465</v>
      </c>
      <c r="F76" s="2" t="s">
        <v>23</v>
      </c>
      <c r="G76" s="1" t="s">
        <v>24</v>
      </c>
      <c r="H76" s="1">
        <v>1</v>
      </c>
      <c r="J76" s="1" t="s">
        <v>466</v>
      </c>
      <c r="K76" s="1" t="s">
        <v>124</v>
      </c>
      <c r="L76" s="1" t="s">
        <v>467</v>
      </c>
      <c r="M76" s="1" t="s">
        <v>468</v>
      </c>
      <c r="N76" s="1" t="s">
        <v>469</v>
      </c>
      <c r="O76" s="1" t="s">
        <v>39</v>
      </c>
      <c r="P76" s="4">
        <v>13.76</v>
      </c>
      <c r="Q76" s="5">
        <f t="shared" si="3"/>
        <v>16.512</v>
      </c>
      <c r="R76" s="4">
        <v>17.2</v>
      </c>
      <c r="S76" s="5">
        <f t="shared" si="4"/>
        <v>20.639999999999997</v>
      </c>
      <c r="T76" s="4">
        <v>20.64</v>
      </c>
      <c r="U76" s="5">
        <f t="shared" si="5"/>
        <v>24.768000000000001</v>
      </c>
      <c r="V76" s="1" t="s">
        <v>31</v>
      </c>
    </row>
    <row r="77" spans="1:22" x14ac:dyDescent="0.2">
      <c r="A77" s="1">
        <v>1996801</v>
      </c>
      <c r="B77" s="1" t="s">
        <v>470</v>
      </c>
      <c r="C77" s="1" t="str">
        <f>"9788024628134"</f>
        <v>9788024628134</v>
      </c>
      <c r="D77" s="1" t="str">
        <f>"9788024628288"</f>
        <v>9788024628288</v>
      </c>
      <c r="E77" s="2" t="s">
        <v>122</v>
      </c>
      <c r="F77" s="2" t="s">
        <v>23</v>
      </c>
      <c r="G77" s="1" t="s">
        <v>24</v>
      </c>
      <c r="H77" s="1">
        <v>1</v>
      </c>
      <c r="I77" s="1" t="s">
        <v>471</v>
      </c>
      <c r="J77" s="1" t="s">
        <v>472</v>
      </c>
      <c r="K77" s="1" t="s">
        <v>111</v>
      </c>
      <c r="L77" s="1" t="s">
        <v>473</v>
      </c>
      <c r="M77" s="1" t="s">
        <v>474</v>
      </c>
      <c r="N77" s="1" t="s">
        <v>475</v>
      </c>
      <c r="O77" s="1" t="s">
        <v>39</v>
      </c>
      <c r="P77" s="4">
        <v>20.18</v>
      </c>
      <c r="Q77" s="5">
        <f t="shared" si="3"/>
        <v>24.215999999999998</v>
      </c>
      <c r="R77" s="4">
        <v>25.23</v>
      </c>
      <c r="S77" s="5">
        <f t="shared" si="4"/>
        <v>30.276</v>
      </c>
      <c r="T77" s="4">
        <v>30.28</v>
      </c>
      <c r="U77" s="5">
        <f t="shared" si="5"/>
        <v>36.335999999999999</v>
      </c>
      <c r="V77" s="1" t="s">
        <v>31</v>
      </c>
    </row>
    <row r="78" spans="1:22" x14ac:dyDescent="0.2">
      <c r="A78" s="1">
        <v>1996802</v>
      </c>
      <c r="B78" s="1" t="s">
        <v>476</v>
      </c>
      <c r="C78" s="1" t="str">
        <f>"9788024623245"</f>
        <v>9788024623245</v>
      </c>
      <c r="D78" s="1" t="str">
        <f>"9788024624099"</f>
        <v>9788024624099</v>
      </c>
      <c r="E78" s="2" t="s">
        <v>22</v>
      </c>
      <c r="F78" s="2" t="s">
        <v>23</v>
      </c>
      <c r="G78" s="1" t="s">
        <v>24</v>
      </c>
      <c r="H78" s="1">
        <v>1</v>
      </c>
      <c r="J78" s="1" t="s">
        <v>477</v>
      </c>
      <c r="K78" s="1" t="s">
        <v>478</v>
      </c>
      <c r="L78" s="1" t="s">
        <v>479</v>
      </c>
      <c r="M78" s="1" t="s">
        <v>480</v>
      </c>
      <c r="N78" s="1" t="s">
        <v>481</v>
      </c>
      <c r="O78" s="1" t="s">
        <v>39</v>
      </c>
      <c r="P78" s="4">
        <v>13.76</v>
      </c>
      <c r="Q78" s="5">
        <f t="shared" si="3"/>
        <v>16.512</v>
      </c>
      <c r="R78" s="4">
        <v>17.2</v>
      </c>
      <c r="S78" s="5">
        <f t="shared" si="4"/>
        <v>20.639999999999997</v>
      </c>
      <c r="T78" s="4">
        <v>20.64</v>
      </c>
      <c r="U78" s="5">
        <f t="shared" si="5"/>
        <v>24.768000000000001</v>
      </c>
      <c r="V78" s="1" t="s">
        <v>31</v>
      </c>
    </row>
    <row r="79" spans="1:22" x14ac:dyDescent="0.2">
      <c r="A79" s="1">
        <v>1996803</v>
      </c>
      <c r="B79" s="1" t="s">
        <v>482</v>
      </c>
      <c r="C79" s="1" t="str">
        <f>"9788024622866"</f>
        <v>9788024622866</v>
      </c>
      <c r="D79" s="1" t="str">
        <f>"9788024623085"</f>
        <v>9788024623085</v>
      </c>
      <c r="E79" s="2" t="s">
        <v>103</v>
      </c>
      <c r="F79" s="2" t="s">
        <v>23</v>
      </c>
      <c r="G79" s="1" t="s">
        <v>24</v>
      </c>
      <c r="H79" s="1">
        <v>1</v>
      </c>
      <c r="J79" s="1" t="s">
        <v>483</v>
      </c>
      <c r="K79" s="1" t="s">
        <v>260</v>
      </c>
      <c r="L79" s="1" t="s">
        <v>484</v>
      </c>
      <c r="M79" s="1" t="s">
        <v>485</v>
      </c>
      <c r="N79" s="1" t="s">
        <v>486</v>
      </c>
      <c r="O79" s="1" t="s">
        <v>39</v>
      </c>
      <c r="P79" s="4">
        <v>17.43</v>
      </c>
      <c r="Q79" s="5">
        <f t="shared" si="3"/>
        <v>20.916</v>
      </c>
      <c r="R79" s="4">
        <v>21.79</v>
      </c>
      <c r="S79" s="5">
        <f t="shared" si="4"/>
        <v>26.148</v>
      </c>
      <c r="T79" s="4">
        <v>26.15</v>
      </c>
      <c r="U79" s="5">
        <f t="shared" si="5"/>
        <v>31.379999999999995</v>
      </c>
      <c r="V79" s="1" t="s">
        <v>31</v>
      </c>
    </row>
    <row r="80" spans="1:22" x14ac:dyDescent="0.2">
      <c r="A80" s="1">
        <v>1996805</v>
      </c>
      <c r="B80" s="1" t="s">
        <v>487</v>
      </c>
      <c r="C80" s="1" t="str">
        <f>"9788024623184"</f>
        <v>9788024623184</v>
      </c>
      <c r="D80" s="1" t="str">
        <f>"9788024623276"</f>
        <v>9788024623276</v>
      </c>
      <c r="E80" s="2" t="s">
        <v>41</v>
      </c>
      <c r="F80" s="2" t="s">
        <v>23</v>
      </c>
      <c r="G80" s="1" t="s">
        <v>24</v>
      </c>
      <c r="H80" s="1">
        <v>1</v>
      </c>
      <c r="J80" s="1" t="s">
        <v>488</v>
      </c>
      <c r="K80" s="1" t="s">
        <v>93</v>
      </c>
      <c r="L80" s="1" t="s">
        <v>489</v>
      </c>
      <c r="M80" s="1" t="s">
        <v>490</v>
      </c>
      <c r="N80" s="1" t="s">
        <v>491</v>
      </c>
      <c r="O80" s="1" t="s">
        <v>39</v>
      </c>
      <c r="P80" s="4">
        <v>13.76</v>
      </c>
      <c r="Q80" s="5">
        <f t="shared" si="3"/>
        <v>16.512</v>
      </c>
      <c r="R80" s="4">
        <v>17.2</v>
      </c>
      <c r="S80" s="5">
        <f t="shared" si="4"/>
        <v>20.639999999999997</v>
      </c>
      <c r="T80" s="4">
        <v>20.64</v>
      </c>
      <c r="U80" s="5">
        <f t="shared" si="5"/>
        <v>24.768000000000001</v>
      </c>
      <c r="V80" s="1" t="s">
        <v>31</v>
      </c>
    </row>
    <row r="81" spans="1:22" x14ac:dyDescent="0.2">
      <c r="A81" s="1">
        <v>1996806</v>
      </c>
      <c r="B81" s="1" t="s">
        <v>492</v>
      </c>
      <c r="C81" s="1" t="str">
        <f>"9788024619101"</f>
        <v>9788024619101</v>
      </c>
      <c r="D81" s="1" t="str">
        <f>"9788024623375"</f>
        <v>9788024623375</v>
      </c>
      <c r="E81" s="2" t="s">
        <v>77</v>
      </c>
      <c r="F81" s="2" t="s">
        <v>23</v>
      </c>
      <c r="G81" s="1" t="s">
        <v>24</v>
      </c>
      <c r="H81" s="1">
        <v>1</v>
      </c>
      <c r="J81" s="1" t="s">
        <v>493</v>
      </c>
      <c r="K81" s="1" t="s">
        <v>79</v>
      </c>
      <c r="L81" s="1" t="s">
        <v>494</v>
      </c>
      <c r="M81" s="1" t="s">
        <v>495</v>
      </c>
      <c r="N81" s="1" t="s">
        <v>496</v>
      </c>
      <c r="O81" s="1" t="s">
        <v>39</v>
      </c>
      <c r="P81" s="4">
        <v>13.76</v>
      </c>
      <c r="Q81" s="5">
        <f t="shared" si="3"/>
        <v>16.512</v>
      </c>
      <c r="R81" s="4">
        <v>17.2</v>
      </c>
      <c r="S81" s="5">
        <f t="shared" si="4"/>
        <v>20.639999999999997</v>
      </c>
      <c r="T81" s="4">
        <v>20.64</v>
      </c>
      <c r="U81" s="5">
        <f t="shared" si="5"/>
        <v>24.768000000000001</v>
      </c>
      <c r="V81" s="1" t="s">
        <v>31</v>
      </c>
    </row>
    <row r="82" spans="1:22" x14ac:dyDescent="0.2">
      <c r="A82" s="1">
        <v>1996807</v>
      </c>
      <c r="B82" s="1" t="s">
        <v>497</v>
      </c>
      <c r="C82" s="1" t="str">
        <f>"9788024618302"</f>
        <v>9788024618302</v>
      </c>
      <c r="D82" s="1" t="str">
        <f>"9788024623405"</f>
        <v>9788024623405</v>
      </c>
      <c r="E82" s="2" t="s">
        <v>498</v>
      </c>
      <c r="F82" s="2" t="s">
        <v>23</v>
      </c>
      <c r="G82" s="1" t="s">
        <v>24</v>
      </c>
      <c r="H82" s="1">
        <v>1</v>
      </c>
      <c r="J82" s="1" t="s">
        <v>499</v>
      </c>
      <c r="K82" s="1" t="s">
        <v>242</v>
      </c>
      <c r="L82" s="1" t="s">
        <v>500</v>
      </c>
      <c r="M82" s="1" t="s">
        <v>501</v>
      </c>
      <c r="N82" s="1" t="s">
        <v>502</v>
      </c>
      <c r="O82" s="1" t="s">
        <v>39</v>
      </c>
      <c r="P82" s="4">
        <v>14.68</v>
      </c>
      <c r="Q82" s="5">
        <f t="shared" si="3"/>
        <v>17.616</v>
      </c>
      <c r="R82" s="4">
        <v>18.350000000000001</v>
      </c>
      <c r="S82" s="5">
        <f t="shared" si="4"/>
        <v>22.02</v>
      </c>
      <c r="T82" s="4">
        <v>22.02</v>
      </c>
      <c r="U82" s="5">
        <f t="shared" si="5"/>
        <v>26.423999999999999</v>
      </c>
      <c r="V82" s="1" t="s">
        <v>31</v>
      </c>
    </row>
    <row r="83" spans="1:22" x14ac:dyDescent="0.2">
      <c r="A83" s="1">
        <v>1996808</v>
      </c>
      <c r="B83" s="1" t="s">
        <v>503</v>
      </c>
      <c r="C83" s="1" t="str">
        <f>"9788024619965"</f>
        <v>9788024619965</v>
      </c>
      <c r="D83" s="1" t="str">
        <f>"9788024623474"</f>
        <v>9788024623474</v>
      </c>
      <c r="E83" s="2" t="s">
        <v>504</v>
      </c>
      <c r="F83" s="2" t="s">
        <v>23</v>
      </c>
      <c r="G83" s="1" t="s">
        <v>24</v>
      </c>
      <c r="H83" s="1">
        <v>3</v>
      </c>
      <c r="J83" s="1" t="s">
        <v>505</v>
      </c>
      <c r="K83" s="1" t="s">
        <v>72</v>
      </c>
      <c r="L83" s="1" t="s">
        <v>506</v>
      </c>
      <c r="M83" s="1" t="s">
        <v>507</v>
      </c>
      <c r="N83" s="1" t="s">
        <v>508</v>
      </c>
      <c r="O83" s="1" t="s">
        <v>30</v>
      </c>
      <c r="P83" s="4">
        <v>15.6</v>
      </c>
      <c r="Q83" s="5">
        <f t="shared" si="3"/>
        <v>18.72</v>
      </c>
      <c r="R83" s="4">
        <v>19.5</v>
      </c>
      <c r="S83" s="5">
        <f t="shared" si="4"/>
        <v>23.4</v>
      </c>
      <c r="T83" s="4">
        <v>23.39</v>
      </c>
      <c r="U83" s="5">
        <f t="shared" si="5"/>
        <v>28.068000000000001</v>
      </c>
      <c r="V83" s="1" t="s">
        <v>31</v>
      </c>
    </row>
    <row r="84" spans="1:22" x14ac:dyDescent="0.2">
      <c r="A84" s="1">
        <v>1996810</v>
      </c>
      <c r="B84" s="1" t="s">
        <v>509</v>
      </c>
      <c r="C84" s="1" t="str">
        <f>"9788024618647"</f>
        <v>9788024618647</v>
      </c>
      <c r="D84" s="1" t="str">
        <f>"9788024623948"</f>
        <v>9788024623948</v>
      </c>
      <c r="E84" s="2" t="s">
        <v>510</v>
      </c>
      <c r="F84" s="2" t="s">
        <v>23</v>
      </c>
      <c r="G84" s="1" t="s">
        <v>24</v>
      </c>
      <c r="H84" s="1">
        <v>1</v>
      </c>
      <c r="J84" s="1" t="s">
        <v>511</v>
      </c>
      <c r="K84" s="1" t="s">
        <v>512</v>
      </c>
      <c r="L84" s="1" t="s">
        <v>513</v>
      </c>
      <c r="M84" s="1" t="s">
        <v>514</v>
      </c>
      <c r="N84" s="1" t="s">
        <v>515</v>
      </c>
      <c r="O84" s="1" t="s">
        <v>39</v>
      </c>
      <c r="P84" s="4">
        <v>15.6</v>
      </c>
      <c r="Q84" s="5">
        <f t="shared" si="3"/>
        <v>18.72</v>
      </c>
      <c r="R84" s="4">
        <v>19.5</v>
      </c>
      <c r="S84" s="5">
        <f t="shared" si="4"/>
        <v>23.4</v>
      </c>
      <c r="T84" s="4">
        <v>23.39</v>
      </c>
      <c r="U84" s="5">
        <f t="shared" si="5"/>
        <v>28.068000000000001</v>
      </c>
      <c r="V84" s="1" t="s">
        <v>31</v>
      </c>
    </row>
    <row r="85" spans="1:22" x14ac:dyDescent="0.2">
      <c r="A85" s="1">
        <v>1996811</v>
      </c>
      <c r="B85" s="1" t="s">
        <v>516</v>
      </c>
      <c r="C85" s="1" t="str">
        <f>"9788024622057"</f>
        <v>9788024622057</v>
      </c>
      <c r="D85" s="1" t="str">
        <f>"9788024624037"</f>
        <v>9788024624037</v>
      </c>
      <c r="E85" s="2" t="s">
        <v>517</v>
      </c>
      <c r="F85" s="2" t="s">
        <v>23</v>
      </c>
      <c r="G85" s="1" t="s">
        <v>24</v>
      </c>
      <c r="H85" s="1">
        <v>1</v>
      </c>
      <c r="J85" s="1" t="s">
        <v>518</v>
      </c>
      <c r="K85" s="1" t="s">
        <v>26</v>
      </c>
      <c r="L85" s="1" t="s">
        <v>519</v>
      </c>
      <c r="M85" s="1">
        <v>158</v>
      </c>
      <c r="N85" s="1" t="s">
        <v>520</v>
      </c>
      <c r="O85" s="1" t="s">
        <v>39</v>
      </c>
      <c r="P85" s="4">
        <v>13.76</v>
      </c>
      <c r="Q85" s="5">
        <f t="shared" si="3"/>
        <v>16.512</v>
      </c>
      <c r="R85" s="4">
        <v>17.2</v>
      </c>
      <c r="S85" s="5">
        <f t="shared" si="4"/>
        <v>20.639999999999997</v>
      </c>
      <c r="T85" s="4">
        <v>20.64</v>
      </c>
      <c r="U85" s="5">
        <f t="shared" si="5"/>
        <v>24.768000000000001</v>
      </c>
      <c r="V85" s="1" t="s">
        <v>31</v>
      </c>
    </row>
    <row r="86" spans="1:22" x14ac:dyDescent="0.2">
      <c r="A86" s="1">
        <v>1996813</v>
      </c>
      <c r="B86" s="1" t="s">
        <v>521</v>
      </c>
      <c r="C86" s="1" t="str">
        <f>"9788024624150"</f>
        <v>9788024624150</v>
      </c>
      <c r="D86" s="1" t="str">
        <f>"9788024624235"</f>
        <v>9788024624235</v>
      </c>
      <c r="E86" s="2" t="s">
        <v>103</v>
      </c>
      <c r="F86" s="2" t="s">
        <v>23</v>
      </c>
      <c r="G86" s="1" t="s">
        <v>24</v>
      </c>
      <c r="H86" s="1">
        <v>1</v>
      </c>
      <c r="J86" s="1" t="s">
        <v>522</v>
      </c>
      <c r="K86" s="1" t="s">
        <v>523</v>
      </c>
      <c r="L86" s="1" t="s">
        <v>524</v>
      </c>
      <c r="M86" s="1">
        <v>612</v>
      </c>
      <c r="N86" s="1" t="s">
        <v>525</v>
      </c>
      <c r="O86" s="1" t="s">
        <v>39</v>
      </c>
      <c r="P86" s="4">
        <v>13.76</v>
      </c>
      <c r="Q86" s="5">
        <f t="shared" si="3"/>
        <v>16.512</v>
      </c>
      <c r="R86" s="4">
        <v>17.2</v>
      </c>
      <c r="S86" s="5">
        <f t="shared" si="4"/>
        <v>20.639999999999997</v>
      </c>
      <c r="T86" s="4">
        <v>20.64</v>
      </c>
      <c r="U86" s="5">
        <f t="shared" si="5"/>
        <v>24.768000000000001</v>
      </c>
      <c r="V86" s="1" t="s">
        <v>31</v>
      </c>
    </row>
    <row r="87" spans="1:22" x14ac:dyDescent="0.2">
      <c r="A87" s="1">
        <v>1996814</v>
      </c>
      <c r="B87" s="1" t="s">
        <v>526</v>
      </c>
      <c r="C87" s="1" t="str">
        <f>"9788024622019"</f>
        <v>9788024622019</v>
      </c>
      <c r="D87" s="1" t="str">
        <f>"9788024624266"</f>
        <v>9788024624266</v>
      </c>
      <c r="E87" s="2" t="s">
        <v>212</v>
      </c>
      <c r="F87" s="2" t="s">
        <v>23</v>
      </c>
      <c r="G87" s="1" t="s">
        <v>24</v>
      </c>
      <c r="H87" s="1">
        <v>1</v>
      </c>
      <c r="J87" s="1" t="s">
        <v>527</v>
      </c>
      <c r="K87" s="1" t="s">
        <v>64</v>
      </c>
      <c r="L87" s="1" t="s">
        <v>528</v>
      </c>
      <c r="M87" s="1" t="s">
        <v>529</v>
      </c>
      <c r="N87" s="1" t="s">
        <v>530</v>
      </c>
      <c r="O87" s="1" t="s">
        <v>39</v>
      </c>
      <c r="P87" s="4">
        <v>13.76</v>
      </c>
      <c r="Q87" s="5">
        <f t="shared" si="3"/>
        <v>16.512</v>
      </c>
      <c r="R87" s="4">
        <v>17.2</v>
      </c>
      <c r="S87" s="5">
        <f t="shared" si="4"/>
        <v>20.639999999999997</v>
      </c>
      <c r="T87" s="4">
        <v>20.64</v>
      </c>
      <c r="U87" s="5">
        <f t="shared" si="5"/>
        <v>24.768000000000001</v>
      </c>
      <c r="V87" s="1" t="s">
        <v>31</v>
      </c>
    </row>
    <row r="88" spans="1:22" x14ac:dyDescent="0.2">
      <c r="A88" s="1">
        <v>1996817</v>
      </c>
      <c r="B88" s="1" t="s">
        <v>531</v>
      </c>
      <c r="C88" s="1" t="str">
        <f>"9788024612997"</f>
        <v>9788024612997</v>
      </c>
      <c r="D88" s="1" t="str">
        <f>"9788024625386"</f>
        <v>9788024625386</v>
      </c>
      <c r="E88" s="2" t="s">
        <v>532</v>
      </c>
      <c r="F88" s="2" t="s">
        <v>23</v>
      </c>
      <c r="G88" s="1" t="s">
        <v>24</v>
      </c>
      <c r="H88" s="1">
        <v>1</v>
      </c>
      <c r="J88" s="1" t="s">
        <v>533</v>
      </c>
      <c r="K88" s="1" t="s">
        <v>72</v>
      </c>
      <c r="L88" s="1" t="s">
        <v>534</v>
      </c>
      <c r="M88" s="1" t="s">
        <v>535</v>
      </c>
      <c r="N88" s="1" t="s">
        <v>536</v>
      </c>
      <c r="O88" s="1" t="s">
        <v>39</v>
      </c>
      <c r="P88" s="4">
        <v>16.510000000000002</v>
      </c>
      <c r="Q88" s="5">
        <f t="shared" si="3"/>
        <v>19.812000000000001</v>
      </c>
      <c r="R88" s="4">
        <v>20.64</v>
      </c>
      <c r="S88" s="5">
        <f t="shared" si="4"/>
        <v>24.768000000000001</v>
      </c>
      <c r="T88" s="4">
        <v>24.77</v>
      </c>
      <c r="U88" s="5">
        <f t="shared" si="5"/>
        <v>29.723999999999997</v>
      </c>
      <c r="V88" s="1" t="s">
        <v>31</v>
      </c>
    </row>
    <row r="89" spans="1:22" x14ac:dyDescent="0.2">
      <c r="A89" s="1">
        <v>1996818</v>
      </c>
      <c r="B89" s="1" t="s">
        <v>537</v>
      </c>
      <c r="C89" s="1" t="str">
        <f>"9788024611587"</f>
        <v>9788024611587</v>
      </c>
      <c r="D89" s="1" t="str">
        <f>"9788024625478"</f>
        <v>9788024625478</v>
      </c>
      <c r="E89" s="2" t="s">
        <v>538</v>
      </c>
      <c r="F89" s="2" t="s">
        <v>23</v>
      </c>
      <c r="G89" s="1" t="s">
        <v>24</v>
      </c>
      <c r="H89" s="1">
        <v>1</v>
      </c>
      <c r="J89" s="1" t="s">
        <v>294</v>
      </c>
      <c r="K89" s="1" t="s">
        <v>79</v>
      </c>
      <c r="L89" s="1" t="s">
        <v>539</v>
      </c>
      <c r="M89" s="1">
        <v>401</v>
      </c>
      <c r="N89" s="1" t="s">
        <v>540</v>
      </c>
      <c r="O89" s="1" t="s">
        <v>39</v>
      </c>
      <c r="P89" s="4">
        <v>21.1</v>
      </c>
      <c r="Q89" s="5">
        <f t="shared" si="3"/>
        <v>25.32</v>
      </c>
      <c r="R89" s="4">
        <v>26.38</v>
      </c>
      <c r="S89" s="5">
        <f t="shared" si="4"/>
        <v>31.655999999999999</v>
      </c>
      <c r="T89" s="4">
        <v>31.65</v>
      </c>
      <c r="U89" s="5">
        <f t="shared" si="5"/>
        <v>37.979999999999997</v>
      </c>
      <c r="V89" s="1" t="s">
        <v>31</v>
      </c>
    </row>
    <row r="90" spans="1:22" x14ac:dyDescent="0.2">
      <c r="A90" s="1">
        <v>1996819</v>
      </c>
      <c r="B90" s="1" t="s">
        <v>541</v>
      </c>
      <c r="C90" s="1" t="str">
        <f>"9788024616483"</f>
        <v>9788024616483</v>
      </c>
      <c r="D90" s="1" t="str">
        <f>"9788024625492"</f>
        <v>9788024625492</v>
      </c>
      <c r="E90" s="2" t="s">
        <v>542</v>
      </c>
      <c r="F90" s="2" t="s">
        <v>23</v>
      </c>
      <c r="G90" s="1" t="s">
        <v>24</v>
      </c>
      <c r="H90" s="1">
        <v>1</v>
      </c>
      <c r="J90" s="1" t="s">
        <v>543</v>
      </c>
      <c r="K90" s="1" t="s">
        <v>79</v>
      </c>
      <c r="L90" s="1" t="s">
        <v>544</v>
      </c>
      <c r="M90" s="1" t="s">
        <v>296</v>
      </c>
      <c r="N90" s="1" t="s">
        <v>545</v>
      </c>
      <c r="O90" s="1" t="s">
        <v>39</v>
      </c>
      <c r="P90" s="4">
        <v>14.68</v>
      </c>
      <c r="Q90" s="5">
        <f t="shared" si="3"/>
        <v>17.616</v>
      </c>
      <c r="R90" s="4">
        <v>18.350000000000001</v>
      </c>
      <c r="S90" s="5">
        <f t="shared" si="4"/>
        <v>22.02</v>
      </c>
      <c r="T90" s="4">
        <v>22.02</v>
      </c>
      <c r="U90" s="5">
        <f t="shared" si="5"/>
        <v>26.423999999999999</v>
      </c>
      <c r="V90" s="1" t="s">
        <v>31</v>
      </c>
    </row>
    <row r="91" spans="1:22" x14ac:dyDescent="0.2">
      <c r="A91" s="1">
        <v>1996820</v>
      </c>
      <c r="B91" s="1" t="s">
        <v>546</v>
      </c>
      <c r="C91" s="1" t="str">
        <f>"9788024606200"</f>
        <v>9788024606200</v>
      </c>
      <c r="D91" s="1" t="str">
        <f>"9788024625898"</f>
        <v>9788024625898</v>
      </c>
      <c r="E91" s="2" t="s">
        <v>547</v>
      </c>
      <c r="F91" s="2" t="s">
        <v>23</v>
      </c>
      <c r="G91" s="1" t="s">
        <v>24</v>
      </c>
      <c r="H91" s="1">
        <v>1</v>
      </c>
      <c r="J91" s="1" t="s">
        <v>548</v>
      </c>
      <c r="K91" s="1" t="s">
        <v>79</v>
      </c>
      <c r="L91" s="1" t="s">
        <v>549</v>
      </c>
      <c r="M91" s="1">
        <v>411</v>
      </c>
      <c r="N91" s="1" t="s">
        <v>550</v>
      </c>
      <c r="O91" s="1" t="s">
        <v>39</v>
      </c>
      <c r="P91" s="4">
        <v>13.76</v>
      </c>
      <c r="Q91" s="5">
        <f t="shared" si="3"/>
        <v>16.512</v>
      </c>
      <c r="R91" s="4">
        <v>17.2</v>
      </c>
      <c r="S91" s="5">
        <f t="shared" si="4"/>
        <v>20.639999999999997</v>
      </c>
      <c r="T91" s="4">
        <v>20.64</v>
      </c>
      <c r="U91" s="5">
        <f t="shared" si="5"/>
        <v>24.768000000000001</v>
      </c>
      <c r="V91" s="1" t="s">
        <v>31</v>
      </c>
    </row>
    <row r="92" spans="1:22" x14ac:dyDescent="0.2">
      <c r="A92" s="1">
        <v>1996821</v>
      </c>
      <c r="B92" s="1" t="s">
        <v>551</v>
      </c>
      <c r="C92" s="1" t="str">
        <f>"9788024606217"</f>
        <v>9788024606217</v>
      </c>
      <c r="D92" s="1" t="str">
        <f>"9788024625904"</f>
        <v>9788024625904</v>
      </c>
      <c r="E92" s="2" t="s">
        <v>547</v>
      </c>
      <c r="F92" s="2" t="s">
        <v>23</v>
      </c>
      <c r="G92" s="1" t="s">
        <v>24</v>
      </c>
      <c r="H92" s="1">
        <v>1</v>
      </c>
      <c r="J92" s="1" t="s">
        <v>548</v>
      </c>
      <c r="K92" s="1" t="s">
        <v>36</v>
      </c>
      <c r="L92" s="1" t="s">
        <v>552</v>
      </c>
      <c r="M92" s="1" t="s">
        <v>553</v>
      </c>
      <c r="N92" s="1" t="s">
        <v>554</v>
      </c>
      <c r="O92" s="1" t="s">
        <v>39</v>
      </c>
      <c r="P92" s="4">
        <v>13.76</v>
      </c>
      <c r="Q92" s="5">
        <f t="shared" si="3"/>
        <v>16.512</v>
      </c>
      <c r="R92" s="4">
        <v>17.2</v>
      </c>
      <c r="S92" s="5">
        <f t="shared" si="4"/>
        <v>20.639999999999997</v>
      </c>
      <c r="T92" s="4">
        <v>20.64</v>
      </c>
      <c r="U92" s="5">
        <f t="shared" si="5"/>
        <v>24.768000000000001</v>
      </c>
      <c r="V92" s="1" t="s">
        <v>31</v>
      </c>
    </row>
    <row r="93" spans="1:22" x14ac:dyDescent="0.2">
      <c r="A93" s="1">
        <v>1996822</v>
      </c>
      <c r="B93" s="1" t="s">
        <v>555</v>
      </c>
      <c r="C93" s="1" t="str">
        <f>"9788024621241"</f>
        <v>9788024621241</v>
      </c>
      <c r="D93" s="1" t="str">
        <f>"9788024627687"</f>
        <v>9788024627687</v>
      </c>
      <c r="E93" s="2" t="s">
        <v>212</v>
      </c>
      <c r="F93" s="2" t="s">
        <v>23</v>
      </c>
      <c r="G93" s="1" t="s">
        <v>24</v>
      </c>
      <c r="H93" s="1">
        <v>1</v>
      </c>
      <c r="J93" s="1" t="s">
        <v>556</v>
      </c>
      <c r="K93" s="1" t="s">
        <v>248</v>
      </c>
      <c r="L93" s="1" t="s">
        <v>557</v>
      </c>
      <c r="M93" s="1" t="s">
        <v>558</v>
      </c>
      <c r="N93" s="1" t="s">
        <v>559</v>
      </c>
      <c r="O93" s="1" t="s">
        <v>39</v>
      </c>
      <c r="P93" s="4">
        <v>13.76</v>
      </c>
      <c r="Q93" s="5">
        <f t="shared" si="3"/>
        <v>16.512</v>
      </c>
      <c r="R93" s="4">
        <v>17.2</v>
      </c>
      <c r="S93" s="5">
        <f t="shared" si="4"/>
        <v>20.639999999999997</v>
      </c>
      <c r="T93" s="4">
        <v>20.64</v>
      </c>
      <c r="U93" s="5">
        <f t="shared" si="5"/>
        <v>24.768000000000001</v>
      </c>
      <c r="V93" s="1" t="s">
        <v>31</v>
      </c>
    </row>
    <row r="94" spans="1:22" x14ac:dyDescent="0.2">
      <c r="A94" s="1">
        <v>2012875</v>
      </c>
      <c r="B94" s="1" t="s">
        <v>560</v>
      </c>
      <c r="C94" s="1" t="str">
        <f>"9788024622934"</f>
        <v>9788024622934</v>
      </c>
      <c r="D94" s="1" t="str">
        <f>"9788024623290"</f>
        <v>9788024623290</v>
      </c>
      <c r="E94" s="2" t="s">
        <v>55</v>
      </c>
      <c r="F94" s="2" t="s">
        <v>561</v>
      </c>
      <c r="G94" s="1" t="s">
        <v>24</v>
      </c>
      <c r="H94" s="1">
        <v>1</v>
      </c>
      <c r="J94" s="1" t="s">
        <v>562</v>
      </c>
      <c r="K94" s="1" t="s">
        <v>563</v>
      </c>
      <c r="L94" s="1" t="s">
        <v>564</v>
      </c>
      <c r="M94" s="1" t="s">
        <v>565</v>
      </c>
      <c r="N94" s="1" t="s">
        <v>566</v>
      </c>
      <c r="O94" s="1" t="s">
        <v>39</v>
      </c>
      <c r="P94" s="4">
        <v>13.76</v>
      </c>
      <c r="Q94" s="5">
        <f t="shared" si="3"/>
        <v>16.512</v>
      </c>
      <c r="R94" s="4">
        <v>17.2</v>
      </c>
      <c r="S94" s="5">
        <f t="shared" si="4"/>
        <v>20.639999999999997</v>
      </c>
      <c r="T94" s="4">
        <v>20.64</v>
      </c>
      <c r="U94" s="5">
        <f t="shared" si="5"/>
        <v>24.768000000000001</v>
      </c>
      <c r="V94" s="1" t="s">
        <v>31</v>
      </c>
    </row>
    <row r="95" spans="1:22" x14ac:dyDescent="0.2">
      <c r="A95" s="1">
        <v>2012877</v>
      </c>
      <c r="B95" s="1" t="s">
        <v>567</v>
      </c>
      <c r="C95" s="1" t="str">
        <f>"9788024623306"</f>
        <v>9788024623306</v>
      </c>
      <c r="D95" s="1" t="str">
        <f>"9788024623634"</f>
        <v>9788024623634</v>
      </c>
      <c r="E95" s="2" t="s">
        <v>22</v>
      </c>
      <c r="F95" s="2" t="s">
        <v>561</v>
      </c>
      <c r="G95" s="1" t="s">
        <v>24</v>
      </c>
      <c r="H95" s="1">
        <v>1</v>
      </c>
      <c r="I95" s="1" t="s">
        <v>568</v>
      </c>
      <c r="J95" s="1" t="s">
        <v>569</v>
      </c>
      <c r="K95" s="1" t="s">
        <v>570</v>
      </c>
      <c r="L95" s="1" t="s">
        <v>571</v>
      </c>
      <c r="M95" s="1" t="s">
        <v>572</v>
      </c>
      <c r="N95" s="1" t="s">
        <v>573</v>
      </c>
      <c r="O95" s="1" t="s">
        <v>39</v>
      </c>
      <c r="P95" s="4">
        <v>13.76</v>
      </c>
      <c r="Q95" s="5">
        <f t="shared" si="3"/>
        <v>16.512</v>
      </c>
      <c r="R95" s="4">
        <v>17.2</v>
      </c>
      <c r="S95" s="5">
        <f t="shared" si="4"/>
        <v>20.639999999999997</v>
      </c>
      <c r="T95" s="4">
        <v>20.64</v>
      </c>
      <c r="U95" s="5">
        <f t="shared" si="5"/>
        <v>24.768000000000001</v>
      </c>
      <c r="V95" s="1" t="s">
        <v>31</v>
      </c>
    </row>
    <row r="96" spans="1:22" x14ac:dyDescent="0.2">
      <c r="A96" s="1">
        <v>2012878</v>
      </c>
      <c r="B96" s="1" t="s">
        <v>574</v>
      </c>
      <c r="C96" s="1" t="str">
        <f>"9788024622330"</f>
        <v>9788024622330</v>
      </c>
      <c r="D96" s="1" t="str">
        <f>"9788024623900"</f>
        <v>9788024623900</v>
      </c>
      <c r="E96" s="2" t="s">
        <v>575</v>
      </c>
      <c r="F96" s="2" t="s">
        <v>561</v>
      </c>
      <c r="G96" s="1" t="s">
        <v>24</v>
      </c>
      <c r="H96" s="1">
        <v>1</v>
      </c>
      <c r="J96" s="1" t="s">
        <v>576</v>
      </c>
      <c r="K96" s="1" t="s">
        <v>79</v>
      </c>
      <c r="L96" s="1" t="s">
        <v>577</v>
      </c>
      <c r="M96" s="1" t="s">
        <v>296</v>
      </c>
      <c r="N96" s="1" t="s">
        <v>578</v>
      </c>
      <c r="O96" s="1" t="s">
        <v>39</v>
      </c>
      <c r="P96" s="4">
        <v>15.6</v>
      </c>
      <c r="Q96" s="5">
        <f t="shared" si="3"/>
        <v>18.72</v>
      </c>
      <c r="R96" s="4">
        <v>19.5</v>
      </c>
      <c r="S96" s="5">
        <f t="shared" si="4"/>
        <v>23.4</v>
      </c>
      <c r="T96" s="4">
        <v>23.39</v>
      </c>
      <c r="U96" s="5">
        <f t="shared" si="5"/>
        <v>28.068000000000001</v>
      </c>
      <c r="V96" s="1" t="s">
        <v>31</v>
      </c>
    </row>
    <row r="97" spans="1:22" x14ac:dyDescent="0.2">
      <c r="A97" s="1">
        <v>2012879</v>
      </c>
      <c r="B97" s="1" t="s">
        <v>579</v>
      </c>
      <c r="C97" s="1" t="str">
        <f>"9788024621562"</f>
        <v>9788024621562</v>
      </c>
      <c r="D97" s="1" t="str">
        <f>"9788024624273"</f>
        <v>9788024624273</v>
      </c>
      <c r="E97" s="2" t="s">
        <v>580</v>
      </c>
      <c r="F97" s="2" t="s">
        <v>561</v>
      </c>
      <c r="G97" s="1" t="s">
        <v>24</v>
      </c>
      <c r="H97" s="1">
        <v>1</v>
      </c>
      <c r="J97" s="1" t="s">
        <v>581</v>
      </c>
      <c r="K97" s="1" t="s">
        <v>79</v>
      </c>
      <c r="L97" s="1" t="s">
        <v>582</v>
      </c>
      <c r="M97" s="1" t="s">
        <v>583</v>
      </c>
      <c r="N97" s="1" t="s">
        <v>584</v>
      </c>
      <c r="O97" s="1" t="s">
        <v>39</v>
      </c>
      <c r="P97" s="4">
        <v>13.76</v>
      </c>
      <c r="Q97" s="5">
        <f t="shared" si="3"/>
        <v>16.512</v>
      </c>
      <c r="R97" s="4">
        <v>17.2</v>
      </c>
      <c r="S97" s="5">
        <f t="shared" si="4"/>
        <v>20.639999999999997</v>
      </c>
      <c r="T97" s="4">
        <v>20.64</v>
      </c>
      <c r="U97" s="5">
        <f t="shared" si="5"/>
        <v>24.768000000000001</v>
      </c>
      <c r="V97" s="1" t="s">
        <v>31</v>
      </c>
    </row>
    <row r="98" spans="1:22" x14ac:dyDescent="0.2">
      <c r="A98" s="1">
        <v>2012880</v>
      </c>
      <c r="B98" s="1" t="s">
        <v>585</v>
      </c>
      <c r="C98" s="1" t="str">
        <f>"9788024624464"</f>
        <v>9788024624464</v>
      </c>
      <c r="D98" s="1" t="str">
        <f>"9788024624723"</f>
        <v>9788024624723</v>
      </c>
      <c r="E98" s="2" t="s">
        <v>109</v>
      </c>
      <c r="F98" s="2" t="s">
        <v>561</v>
      </c>
      <c r="G98" s="1" t="s">
        <v>24</v>
      </c>
      <c r="H98" s="1">
        <v>1</v>
      </c>
      <c r="J98" s="1" t="s">
        <v>586</v>
      </c>
      <c r="K98" s="1" t="s">
        <v>587</v>
      </c>
      <c r="L98" s="1" t="s">
        <v>588</v>
      </c>
      <c r="M98" s="1" t="s">
        <v>589</v>
      </c>
      <c r="N98" s="1" t="s">
        <v>590</v>
      </c>
      <c r="O98" s="1" t="s">
        <v>39</v>
      </c>
      <c r="P98" s="4">
        <v>13.76</v>
      </c>
      <c r="Q98" s="5">
        <f t="shared" si="3"/>
        <v>16.512</v>
      </c>
      <c r="R98" s="4">
        <v>17.2</v>
      </c>
      <c r="S98" s="5">
        <f t="shared" si="4"/>
        <v>20.639999999999997</v>
      </c>
      <c r="T98" s="4">
        <v>20.64</v>
      </c>
      <c r="U98" s="5">
        <f t="shared" si="5"/>
        <v>24.768000000000001</v>
      </c>
      <c r="V98" s="1" t="s">
        <v>31</v>
      </c>
    </row>
    <row r="99" spans="1:22" x14ac:dyDescent="0.2">
      <c r="A99" s="1">
        <v>2012881</v>
      </c>
      <c r="B99" s="1" t="s">
        <v>591</v>
      </c>
      <c r="C99" s="1" t="str">
        <f>"9788024623641"</f>
        <v>9788024623641</v>
      </c>
      <c r="D99" s="1" t="str">
        <f>"9788024624754"</f>
        <v>9788024624754</v>
      </c>
      <c r="E99" s="2" t="s">
        <v>332</v>
      </c>
      <c r="F99" s="2" t="s">
        <v>561</v>
      </c>
      <c r="G99" s="1" t="s">
        <v>24</v>
      </c>
      <c r="H99" s="1">
        <v>1</v>
      </c>
      <c r="J99" s="1" t="s">
        <v>592</v>
      </c>
      <c r="K99" s="1" t="s">
        <v>124</v>
      </c>
      <c r="L99" s="1" t="s">
        <v>593</v>
      </c>
      <c r="M99" s="1" t="s">
        <v>594</v>
      </c>
      <c r="N99" s="1" t="s">
        <v>595</v>
      </c>
      <c r="O99" s="1" t="s">
        <v>39</v>
      </c>
      <c r="P99" s="4">
        <v>13.76</v>
      </c>
      <c r="Q99" s="5">
        <f t="shared" si="3"/>
        <v>16.512</v>
      </c>
      <c r="R99" s="4">
        <v>17.2</v>
      </c>
      <c r="S99" s="5">
        <f t="shared" si="4"/>
        <v>20.639999999999997</v>
      </c>
      <c r="T99" s="4">
        <v>20.64</v>
      </c>
      <c r="U99" s="5">
        <f t="shared" si="5"/>
        <v>24.768000000000001</v>
      </c>
      <c r="V99" s="1" t="s">
        <v>31</v>
      </c>
    </row>
    <row r="100" spans="1:22" x14ac:dyDescent="0.2">
      <c r="A100" s="1">
        <v>2012882</v>
      </c>
      <c r="B100" s="1" t="s">
        <v>596</v>
      </c>
      <c r="C100" s="1" t="str">
        <f>"9788024621036"</f>
        <v>9788024621036</v>
      </c>
      <c r="D100" s="1" t="str">
        <f>"9788024624891"</f>
        <v>9788024624891</v>
      </c>
      <c r="E100" s="2" t="s">
        <v>597</v>
      </c>
      <c r="F100" s="2" t="s">
        <v>561</v>
      </c>
      <c r="G100" s="1" t="s">
        <v>24</v>
      </c>
      <c r="H100" s="1">
        <v>1</v>
      </c>
      <c r="J100" s="1" t="s">
        <v>598</v>
      </c>
      <c r="K100" s="1" t="s">
        <v>79</v>
      </c>
      <c r="L100" s="1" t="s">
        <v>599</v>
      </c>
      <c r="M100" s="1" t="s">
        <v>600</v>
      </c>
      <c r="N100" s="1" t="s">
        <v>601</v>
      </c>
      <c r="O100" s="1" t="s">
        <v>30</v>
      </c>
      <c r="P100" s="4">
        <v>14.68</v>
      </c>
      <c r="Q100" s="5">
        <f t="shared" si="3"/>
        <v>17.616</v>
      </c>
      <c r="R100" s="4">
        <v>18.350000000000001</v>
      </c>
      <c r="S100" s="5">
        <f t="shared" si="4"/>
        <v>22.02</v>
      </c>
      <c r="T100" s="4">
        <v>22.02</v>
      </c>
      <c r="U100" s="5">
        <f t="shared" si="5"/>
        <v>26.423999999999999</v>
      </c>
      <c r="V100" s="1" t="s">
        <v>31</v>
      </c>
    </row>
    <row r="101" spans="1:22" x14ac:dyDescent="0.2">
      <c r="A101" s="1">
        <v>2012883</v>
      </c>
      <c r="B101" s="1" t="s">
        <v>602</v>
      </c>
      <c r="C101" s="1" t="str">
        <f>"9788024625249"</f>
        <v>9788024625249</v>
      </c>
      <c r="D101" s="1" t="str">
        <f>"9788024625270"</f>
        <v>9788024625270</v>
      </c>
      <c r="E101" s="2" t="s">
        <v>22</v>
      </c>
      <c r="F101" s="2" t="s">
        <v>561</v>
      </c>
      <c r="G101" s="1" t="s">
        <v>24</v>
      </c>
      <c r="H101" s="1">
        <v>1</v>
      </c>
      <c r="J101" s="1" t="s">
        <v>603</v>
      </c>
      <c r="K101" s="1" t="s">
        <v>111</v>
      </c>
      <c r="L101" s="1" t="s">
        <v>604</v>
      </c>
      <c r="M101" s="1" t="s">
        <v>605</v>
      </c>
      <c r="N101" s="1" t="s">
        <v>606</v>
      </c>
      <c r="O101" s="1" t="s">
        <v>39</v>
      </c>
      <c r="P101" s="4">
        <v>13.76</v>
      </c>
      <c r="Q101" s="5">
        <f t="shared" si="3"/>
        <v>16.512</v>
      </c>
      <c r="R101" s="4">
        <v>17.2</v>
      </c>
      <c r="S101" s="5">
        <f t="shared" si="4"/>
        <v>20.639999999999997</v>
      </c>
      <c r="T101" s="4">
        <v>20.64</v>
      </c>
      <c r="U101" s="5">
        <f t="shared" si="5"/>
        <v>24.768000000000001</v>
      </c>
      <c r="V101" s="1" t="s">
        <v>31</v>
      </c>
    </row>
    <row r="102" spans="1:22" x14ac:dyDescent="0.2">
      <c r="A102" s="1">
        <v>2012884</v>
      </c>
      <c r="B102" s="1" t="s">
        <v>607</v>
      </c>
      <c r="C102" s="1" t="str">
        <f>"9788024625126"</f>
        <v>9788024625126</v>
      </c>
      <c r="D102" s="1" t="str">
        <f>"9788024625416"</f>
        <v>9788024625416</v>
      </c>
      <c r="E102" s="2" t="s">
        <v>443</v>
      </c>
      <c r="F102" s="2" t="s">
        <v>561</v>
      </c>
      <c r="G102" s="1" t="s">
        <v>24</v>
      </c>
      <c r="H102" s="1">
        <v>2</v>
      </c>
      <c r="J102" s="1" t="s">
        <v>608</v>
      </c>
      <c r="K102" s="1" t="s">
        <v>124</v>
      </c>
      <c r="L102" s="1" t="s">
        <v>609</v>
      </c>
      <c r="M102" s="1">
        <v>617</v>
      </c>
      <c r="N102" s="1" t="s">
        <v>610</v>
      </c>
      <c r="O102" s="1" t="s">
        <v>39</v>
      </c>
      <c r="P102" s="4">
        <v>13.76</v>
      </c>
      <c r="Q102" s="5">
        <f t="shared" si="3"/>
        <v>16.512</v>
      </c>
      <c r="R102" s="4">
        <v>17.2</v>
      </c>
      <c r="S102" s="5">
        <f t="shared" si="4"/>
        <v>20.639999999999997</v>
      </c>
      <c r="T102" s="4">
        <v>20.64</v>
      </c>
      <c r="U102" s="5">
        <f t="shared" si="5"/>
        <v>24.768000000000001</v>
      </c>
      <c r="V102" s="1" t="s">
        <v>31</v>
      </c>
    </row>
    <row r="103" spans="1:22" x14ac:dyDescent="0.2">
      <c r="A103" s="1">
        <v>2012885</v>
      </c>
      <c r="B103" s="1" t="s">
        <v>611</v>
      </c>
      <c r="C103" s="1" t="str">
        <f>"9788024624143"</f>
        <v>9788024624143</v>
      </c>
      <c r="D103" s="1" t="str">
        <f>"9788024625454"</f>
        <v>9788024625454</v>
      </c>
      <c r="E103" s="2" t="s">
        <v>22</v>
      </c>
      <c r="F103" s="2" t="s">
        <v>561</v>
      </c>
      <c r="G103" s="1" t="s">
        <v>24</v>
      </c>
      <c r="H103" s="1">
        <v>1</v>
      </c>
      <c r="J103" s="1" t="s">
        <v>612</v>
      </c>
      <c r="K103" s="1" t="s">
        <v>613</v>
      </c>
      <c r="L103" s="1" t="s">
        <v>614</v>
      </c>
      <c r="M103" s="1" t="s">
        <v>615</v>
      </c>
      <c r="N103" s="1" t="s">
        <v>616</v>
      </c>
      <c r="O103" s="1" t="s">
        <v>39</v>
      </c>
      <c r="P103" s="4">
        <v>13.76</v>
      </c>
      <c r="Q103" s="5">
        <f t="shared" si="3"/>
        <v>16.512</v>
      </c>
      <c r="R103" s="4">
        <v>17.2</v>
      </c>
      <c r="S103" s="5">
        <f t="shared" si="4"/>
        <v>20.639999999999997</v>
      </c>
      <c r="T103" s="4">
        <v>20.64</v>
      </c>
      <c r="U103" s="5">
        <f t="shared" si="5"/>
        <v>24.768000000000001</v>
      </c>
      <c r="V103" s="1" t="s">
        <v>31</v>
      </c>
    </row>
    <row r="104" spans="1:22" x14ac:dyDescent="0.2">
      <c r="A104" s="1">
        <v>2012886</v>
      </c>
      <c r="B104" s="1" t="s">
        <v>617</v>
      </c>
      <c r="C104" s="1" t="str">
        <f>"9788024603124"</f>
        <v>9788024603124</v>
      </c>
      <c r="D104" s="1" t="str">
        <f>"9788024625546"</f>
        <v>9788024625546</v>
      </c>
      <c r="E104" s="2" t="s">
        <v>618</v>
      </c>
      <c r="F104" s="2" t="s">
        <v>561</v>
      </c>
      <c r="G104" s="1" t="s">
        <v>24</v>
      </c>
      <c r="H104" s="1">
        <v>1</v>
      </c>
      <c r="J104" s="1" t="s">
        <v>619</v>
      </c>
      <c r="K104" s="1" t="s">
        <v>36</v>
      </c>
      <c r="L104" s="1" t="s">
        <v>620</v>
      </c>
      <c r="M104" s="1" t="s">
        <v>183</v>
      </c>
      <c r="N104" s="1" t="s">
        <v>621</v>
      </c>
      <c r="O104" s="1" t="s">
        <v>39</v>
      </c>
      <c r="P104" s="4">
        <v>13.76</v>
      </c>
      <c r="Q104" s="5">
        <f t="shared" si="3"/>
        <v>16.512</v>
      </c>
      <c r="R104" s="4">
        <v>17.2</v>
      </c>
      <c r="S104" s="5">
        <f t="shared" si="4"/>
        <v>20.639999999999997</v>
      </c>
      <c r="T104" s="4">
        <v>20.64</v>
      </c>
      <c r="U104" s="5">
        <f t="shared" si="5"/>
        <v>24.768000000000001</v>
      </c>
      <c r="V104" s="1" t="s">
        <v>31</v>
      </c>
    </row>
    <row r="105" spans="1:22" x14ac:dyDescent="0.2">
      <c r="A105" s="1">
        <v>2012887</v>
      </c>
      <c r="B105" s="1" t="s">
        <v>622</v>
      </c>
      <c r="C105" s="1" t="str">
        <f>"9788024622194"</f>
        <v>9788024622194</v>
      </c>
      <c r="D105" s="1" t="str">
        <f>"9788024625614"</f>
        <v>9788024625614</v>
      </c>
      <c r="E105" s="2" t="s">
        <v>116</v>
      </c>
      <c r="F105" s="2" t="s">
        <v>561</v>
      </c>
      <c r="G105" s="1" t="s">
        <v>24</v>
      </c>
      <c r="H105" s="1">
        <v>1</v>
      </c>
      <c r="I105" s="1" t="s">
        <v>623</v>
      </c>
      <c r="J105" s="1" t="s">
        <v>624</v>
      </c>
      <c r="K105" s="1" t="s">
        <v>43</v>
      </c>
      <c r="L105" s="1" t="s">
        <v>625</v>
      </c>
      <c r="M105" s="1" t="s">
        <v>626</v>
      </c>
      <c r="N105" s="1" t="s">
        <v>627</v>
      </c>
      <c r="O105" s="1" t="s">
        <v>39</v>
      </c>
      <c r="P105" s="4">
        <v>17.43</v>
      </c>
      <c r="Q105" s="5">
        <f t="shared" si="3"/>
        <v>20.916</v>
      </c>
      <c r="R105" s="4">
        <v>21.79</v>
      </c>
      <c r="S105" s="5">
        <f t="shared" si="4"/>
        <v>26.148</v>
      </c>
      <c r="T105" s="4">
        <v>26.15</v>
      </c>
      <c r="U105" s="5">
        <f t="shared" si="5"/>
        <v>31.379999999999995</v>
      </c>
      <c r="V105" s="1" t="s">
        <v>31</v>
      </c>
    </row>
    <row r="106" spans="1:22" x14ac:dyDescent="0.2">
      <c r="A106" s="1">
        <v>2012888</v>
      </c>
      <c r="B106" s="1" t="s">
        <v>628</v>
      </c>
      <c r="C106" s="1" t="str">
        <f>"9788024623160"</f>
        <v>9788024623160</v>
      </c>
      <c r="D106" s="1" t="str">
        <f>"9788024625812"</f>
        <v>9788024625812</v>
      </c>
      <c r="E106" s="2" t="s">
        <v>22</v>
      </c>
      <c r="F106" s="2" t="s">
        <v>561</v>
      </c>
      <c r="G106" s="1" t="s">
        <v>24</v>
      </c>
      <c r="H106" s="1">
        <v>1</v>
      </c>
      <c r="I106" s="1" t="s">
        <v>187</v>
      </c>
      <c r="J106" s="1" t="s">
        <v>434</v>
      </c>
      <c r="K106" s="1" t="s">
        <v>36</v>
      </c>
      <c r="L106" s="1" t="s">
        <v>629</v>
      </c>
      <c r="M106" s="1" t="s">
        <v>385</v>
      </c>
      <c r="N106" s="1" t="s">
        <v>630</v>
      </c>
      <c r="O106" s="1" t="s">
        <v>30</v>
      </c>
      <c r="P106" s="4">
        <v>18.350000000000001</v>
      </c>
      <c r="Q106" s="5">
        <f t="shared" si="3"/>
        <v>22.02</v>
      </c>
      <c r="R106" s="4">
        <v>22.94</v>
      </c>
      <c r="S106" s="5">
        <f t="shared" si="4"/>
        <v>27.528000000000002</v>
      </c>
      <c r="T106" s="4">
        <v>27.52</v>
      </c>
      <c r="U106" s="5">
        <f t="shared" si="5"/>
        <v>33.024000000000001</v>
      </c>
      <c r="V106" s="1" t="s">
        <v>31</v>
      </c>
    </row>
    <row r="107" spans="1:22" x14ac:dyDescent="0.2">
      <c r="A107" s="1">
        <v>2012889</v>
      </c>
      <c r="B107" s="1" t="s">
        <v>631</v>
      </c>
      <c r="C107" s="1" t="str">
        <f>"9788024625584"</f>
        <v>9788024625584</v>
      </c>
      <c r="D107" s="1" t="str">
        <f>"9788024625836"</f>
        <v>9788024625836</v>
      </c>
      <c r="E107" s="2" t="s">
        <v>443</v>
      </c>
      <c r="F107" s="2" t="s">
        <v>561</v>
      </c>
      <c r="G107" s="1" t="s">
        <v>24</v>
      </c>
      <c r="H107" s="1">
        <v>1</v>
      </c>
      <c r="I107" s="1" t="s">
        <v>623</v>
      </c>
      <c r="J107" s="1" t="s">
        <v>632</v>
      </c>
      <c r="K107" s="1" t="s">
        <v>43</v>
      </c>
      <c r="L107" s="1" t="s">
        <v>633</v>
      </c>
      <c r="M107" s="1">
        <v>301</v>
      </c>
      <c r="N107" s="1" t="s">
        <v>634</v>
      </c>
      <c r="O107" s="1" t="s">
        <v>39</v>
      </c>
      <c r="P107" s="4">
        <v>17.43</v>
      </c>
      <c r="Q107" s="5">
        <f t="shared" si="3"/>
        <v>20.916</v>
      </c>
      <c r="R107" s="4">
        <v>21.79</v>
      </c>
      <c r="S107" s="5">
        <f t="shared" si="4"/>
        <v>26.148</v>
      </c>
      <c r="T107" s="4">
        <v>26.15</v>
      </c>
      <c r="U107" s="5">
        <f t="shared" si="5"/>
        <v>31.379999999999995</v>
      </c>
      <c r="V107" s="1" t="s">
        <v>31</v>
      </c>
    </row>
    <row r="108" spans="1:22" x14ac:dyDescent="0.2">
      <c r="A108" s="1">
        <v>2012890</v>
      </c>
      <c r="B108" s="1" t="s">
        <v>635</v>
      </c>
      <c r="C108" s="1" t="str">
        <f>"9788024605456"</f>
        <v>9788024605456</v>
      </c>
      <c r="D108" s="1" t="str">
        <f>"9788024625928"</f>
        <v>9788024625928</v>
      </c>
      <c r="E108" s="2" t="s">
        <v>636</v>
      </c>
      <c r="F108" s="2" t="s">
        <v>561</v>
      </c>
      <c r="G108" s="1" t="s">
        <v>24</v>
      </c>
      <c r="H108" s="1">
        <v>1</v>
      </c>
      <c r="J108" s="1" t="s">
        <v>637</v>
      </c>
      <c r="K108" s="1" t="s">
        <v>341</v>
      </c>
      <c r="L108" s="1" t="s">
        <v>638</v>
      </c>
      <c r="M108" s="1" t="s">
        <v>639</v>
      </c>
      <c r="N108" s="1" t="s">
        <v>640</v>
      </c>
      <c r="O108" s="1" t="s">
        <v>39</v>
      </c>
      <c r="P108" s="4">
        <v>13.76</v>
      </c>
      <c r="Q108" s="5">
        <f t="shared" si="3"/>
        <v>16.512</v>
      </c>
      <c r="R108" s="4">
        <v>17.2</v>
      </c>
      <c r="S108" s="5">
        <f t="shared" si="4"/>
        <v>20.639999999999997</v>
      </c>
      <c r="T108" s="4">
        <v>20.64</v>
      </c>
      <c r="U108" s="5">
        <f t="shared" si="5"/>
        <v>24.768000000000001</v>
      </c>
      <c r="V108" s="1" t="s">
        <v>31</v>
      </c>
    </row>
    <row r="109" spans="1:22" x14ac:dyDescent="0.2">
      <c r="A109" s="1">
        <v>2012891</v>
      </c>
      <c r="B109" s="1" t="s">
        <v>641</v>
      </c>
      <c r="C109" s="1" t="str">
        <f>"9788024625157"</f>
        <v>9788024625157</v>
      </c>
      <c r="D109" s="1" t="str">
        <f>"9788024625966"</f>
        <v>9788024625966</v>
      </c>
      <c r="E109" s="2" t="s">
        <v>206</v>
      </c>
      <c r="F109" s="2" t="s">
        <v>561</v>
      </c>
      <c r="G109" s="1" t="s">
        <v>24</v>
      </c>
      <c r="H109" s="1">
        <v>1</v>
      </c>
      <c r="J109" s="1" t="s">
        <v>642</v>
      </c>
      <c r="K109" s="1" t="s">
        <v>242</v>
      </c>
      <c r="L109" s="1" t="s">
        <v>643</v>
      </c>
      <c r="M109" s="1" t="s">
        <v>644</v>
      </c>
      <c r="N109" s="1" t="s">
        <v>645</v>
      </c>
      <c r="O109" s="1" t="s">
        <v>30</v>
      </c>
      <c r="P109" s="4">
        <v>17.43</v>
      </c>
      <c r="Q109" s="5">
        <f t="shared" si="3"/>
        <v>20.916</v>
      </c>
      <c r="R109" s="4">
        <v>21.79</v>
      </c>
      <c r="S109" s="5">
        <f t="shared" si="4"/>
        <v>26.148</v>
      </c>
      <c r="T109" s="4">
        <v>26.15</v>
      </c>
      <c r="U109" s="5">
        <f t="shared" si="5"/>
        <v>31.379999999999995</v>
      </c>
      <c r="V109" s="1" t="s">
        <v>31</v>
      </c>
    </row>
    <row r="110" spans="1:22" x14ac:dyDescent="0.2">
      <c r="A110" s="1">
        <v>2012892</v>
      </c>
      <c r="B110" s="1" t="s">
        <v>646</v>
      </c>
      <c r="C110" s="1" t="str">
        <f>"9788024610184"</f>
        <v>9788024610184</v>
      </c>
      <c r="D110" s="1" t="str">
        <f>"9788024626017"</f>
        <v>9788024626017</v>
      </c>
      <c r="E110" s="2" t="s">
        <v>179</v>
      </c>
      <c r="F110" s="2" t="s">
        <v>561</v>
      </c>
      <c r="G110" s="1" t="s">
        <v>24</v>
      </c>
      <c r="H110" s="1">
        <v>1</v>
      </c>
      <c r="I110" s="1" t="s">
        <v>647</v>
      </c>
      <c r="J110" s="1" t="s">
        <v>648</v>
      </c>
      <c r="K110" s="1" t="s">
        <v>72</v>
      </c>
      <c r="L110" s="1" t="s">
        <v>649</v>
      </c>
      <c r="M110" s="1" t="s">
        <v>650</v>
      </c>
      <c r="N110" s="1" t="s">
        <v>651</v>
      </c>
      <c r="O110" s="1" t="s">
        <v>39</v>
      </c>
      <c r="P110" s="4">
        <v>13.76</v>
      </c>
      <c r="Q110" s="5">
        <f t="shared" si="3"/>
        <v>16.512</v>
      </c>
      <c r="R110" s="4">
        <v>17.2</v>
      </c>
      <c r="S110" s="5">
        <f t="shared" si="4"/>
        <v>20.639999999999997</v>
      </c>
      <c r="T110" s="4">
        <v>20.64</v>
      </c>
      <c r="U110" s="5">
        <f t="shared" si="5"/>
        <v>24.768000000000001</v>
      </c>
      <c r="V110" s="1" t="s">
        <v>31</v>
      </c>
    </row>
    <row r="111" spans="1:22" x14ac:dyDescent="0.2">
      <c r="A111" s="1">
        <v>2012895</v>
      </c>
      <c r="B111" s="1" t="s">
        <v>652</v>
      </c>
      <c r="C111" s="1" t="str">
        <f>"9788024621586"</f>
        <v>9788024621586</v>
      </c>
      <c r="D111" s="1" t="str">
        <f>"9788024626666"</f>
        <v>9788024626666</v>
      </c>
      <c r="E111" s="2" t="s">
        <v>653</v>
      </c>
      <c r="F111" s="2" t="s">
        <v>561</v>
      </c>
      <c r="G111" s="1" t="s">
        <v>24</v>
      </c>
      <c r="H111" s="1">
        <v>1</v>
      </c>
      <c r="J111" s="1" t="s">
        <v>654</v>
      </c>
      <c r="K111" s="1" t="s">
        <v>655</v>
      </c>
      <c r="L111" s="1" t="s">
        <v>656</v>
      </c>
      <c r="M111" s="1" t="s">
        <v>657</v>
      </c>
      <c r="N111" s="1" t="s">
        <v>658</v>
      </c>
      <c r="O111" s="1" t="s">
        <v>39</v>
      </c>
      <c r="P111" s="4">
        <v>13.76</v>
      </c>
      <c r="Q111" s="5">
        <f t="shared" si="3"/>
        <v>16.512</v>
      </c>
      <c r="R111" s="4">
        <v>17.2</v>
      </c>
      <c r="S111" s="5">
        <f t="shared" si="4"/>
        <v>20.639999999999997</v>
      </c>
      <c r="T111" s="4">
        <v>20.64</v>
      </c>
      <c r="U111" s="5">
        <f t="shared" si="5"/>
        <v>24.768000000000001</v>
      </c>
      <c r="V111" s="1" t="s">
        <v>31</v>
      </c>
    </row>
    <row r="112" spans="1:22" x14ac:dyDescent="0.2">
      <c r="A112" s="1">
        <v>2012896</v>
      </c>
      <c r="B112" s="1" t="s">
        <v>659</v>
      </c>
      <c r="C112" s="1" t="str">
        <f>"9788024622484"</f>
        <v>9788024622484</v>
      </c>
      <c r="D112" s="1" t="str">
        <f>"9788024626833"</f>
        <v>9788024626833</v>
      </c>
      <c r="E112" s="2" t="s">
        <v>575</v>
      </c>
      <c r="F112" s="2" t="s">
        <v>561</v>
      </c>
      <c r="G112" s="1" t="s">
        <v>24</v>
      </c>
      <c r="H112" s="1">
        <v>1</v>
      </c>
      <c r="J112" s="1" t="s">
        <v>660</v>
      </c>
      <c r="K112" s="1" t="s">
        <v>613</v>
      </c>
      <c r="L112" s="1" t="s">
        <v>661</v>
      </c>
      <c r="M112" s="1" t="s">
        <v>662</v>
      </c>
      <c r="N112" s="1" t="s">
        <v>663</v>
      </c>
      <c r="O112" s="1" t="s">
        <v>39</v>
      </c>
      <c r="P112" s="4">
        <v>13.76</v>
      </c>
      <c r="Q112" s="5">
        <f t="shared" si="3"/>
        <v>16.512</v>
      </c>
      <c r="R112" s="4">
        <v>17.2</v>
      </c>
      <c r="S112" s="5">
        <f t="shared" si="4"/>
        <v>20.639999999999997</v>
      </c>
      <c r="T112" s="4">
        <v>20.64</v>
      </c>
      <c r="U112" s="5">
        <f t="shared" si="5"/>
        <v>24.768000000000001</v>
      </c>
      <c r="V112" s="1" t="s">
        <v>31</v>
      </c>
    </row>
    <row r="113" spans="1:22" x14ac:dyDescent="0.2">
      <c r="A113" s="1">
        <v>2012897</v>
      </c>
      <c r="B113" s="1" t="s">
        <v>664</v>
      </c>
      <c r="C113" s="1" t="str">
        <f>"9788024619859"</f>
        <v>9788024619859</v>
      </c>
      <c r="D113" s="1" t="str">
        <f>"9788024627120"</f>
        <v>9788024627120</v>
      </c>
      <c r="E113" s="2" t="s">
        <v>404</v>
      </c>
      <c r="F113" s="2" t="s">
        <v>561</v>
      </c>
      <c r="G113" s="1" t="s">
        <v>24</v>
      </c>
      <c r="H113" s="1">
        <v>1</v>
      </c>
      <c r="J113" s="1" t="s">
        <v>665</v>
      </c>
      <c r="K113" s="1" t="s">
        <v>666</v>
      </c>
      <c r="L113" s="1" t="s">
        <v>667</v>
      </c>
      <c r="M113" s="1" t="s">
        <v>668</v>
      </c>
      <c r="N113" s="1" t="s">
        <v>669</v>
      </c>
      <c r="O113" s="1" t="s">
        <v>39</v>
      </c>
      <c r="P113" s="4">
        <v>19.27</v>
      </c>
      <c r="Q113" s="5">
        <f t="shared" si="3"/>
        <v>23.123999999999999</v>
      </c>
      <c r="R113" s="4">
        <v>24.08</v>
      </c>
      <c r="S113" s="5">
        <f t="shared" si="4"/>
        <v>28.895999999999997</v>
      </c>
      <c r="T113" s="4">
        <v>28.9</v>
      </c>
      <c r="U113" s="5">
        <f t="shared" si="5"/>
        <v>34.68</v>
      </c>
      <c r="V113" s="1" t="s">
        <v>31</v>
      </c>
    </row>
    <row r="114" spans="1:22" x14ac:dyDescent="0.2">
      <c r="A114" s="1">
        <v>2012898</v>
      </c>
      <c r="B114" s="1" t="s">
        <v>670</v>
      </c>
      <c r="C114" s="1" t="str">
        <f>"9788024606248"</f>
        <v>9788024606248</v>
      </c>
      <c r="D114" s="1" t="str">
        <f>"9788024627229"</f>
        <v>9788024627229</v>
      </c>
      <c r="E114" s="2" t="s">
        <v>671</v>
      </c>
      <c r="F114" s="2" t="s">
        <v>561</v>
      </c>
      <c r="G114" s="1" t="s">
        <v>24</v>
      </c>
      <c r="H114" s="1">
        <v>1</v>
      </c>
      <c r="J114" s="1" t="s">
        <v>672</v>
      </c>
      <c r="K114" s="1" t="s">
        <v>570</v>
      </c>
      <c r="L114" s="1" t="s">
        <v>673</v>
      </c>
      <c r="M114" s="1">
        <v>307</v>
      </c>
      <c r="N114" s="1" t="s">
        <v>674</v>
      </c>
      <c r="O114" s="1" t="s">
        <v>39</v>
      </c>
      <c r="P114" s="4">
        <v>13.76</v>
      </c>
      <c r="Q114" s="5">
        <f t="shared" si="3"/>
        <v>16.512</v>
      </c>
      <c r="R114" s="4">
        <v>17.2</v>
      </c>
      <c r="S114" s="5">
        <f t="shared" si="4"/>
        <v>20.639999999999997</v>
      </c>
      <c r="T114" s="4">
        <v>20.64</v>
      </c>
      <c r="U114" s="5">
        <f t="shared" si="5"/>
        <v>24.768000000000001</v>
      </c>
      <c r="V114" s="1" t="s">
        <v>31</v>
      </c>
    </row>
    <row r="115" spans="1:22" x14ac:dyDescent="0.2">
      <c r="A115" s="1">
        <v>2012900</v>
      </c>
      <c r="B115" s="1" t="s">
        <v>675</v>
      </c>
      <c r="C115" s="1" t="str">
        <f>"9788024614861"</f>
        <v>9788024614861</v>
      </c>
      <c r="D115" s="1" t="str">
        <f>"9788024627274"</f>
        <v>9788024627274</v>
      </c>
      <c r="E115" s="2" t="s">
        <v>676</v>
      </c>
      <c r="F115" s="2" t="s">
        <v>561</v>
      </c>
      <c r="G115" s="1" t="s">
        <v>24</v>
      </c>
      <c r="H115" s="1">
        <v>1</v>
      </c>
      <c r="I115" s="1" t="s">
        <v>623</v>
      </c>
      <c r="J115" s="1" t="s">
        <v>624</v>
      </c>
      <c r="K115" s="1" t="s">
        <v>43</v>
      </c>
      <c r="L115" s="1" t="s">
        <v>677</v>
      </c>
      <c r="M115" s="1" t="s">
        <v>678</v>
      </c>
      <c r="N115" s="1" t="s">
        <v>679</v>
      </c>
      <c r="O115" s="1" t="s">
        <v>39</v>
      </c>
      <c r="P115" s="4">
        <v>14.68</v>
      </c>
      <c r="Q115" s="5">
        <f t="shared" si="3"/>
        <v>17.616</v>
      </c>
      <c r="R115" s="4">
        <v>18.350000000000001</v>
      </c>
      <c r="S115" s="5">
        <f t="shared" si="4"/>
        <v>22.02</v>
      </c>
      <c r="T115" s="4">
        <v>22.02</v>
      </c>
      <c r="U115" s="5">
        <f t="shared" si="5"/>
        <v>26.423999999999999</v>
      </c>
      <c r="V115" s="1" t="s">
        <v>31</v>
      </c>
    </row>
    <row r="116" spans="1:22" x14ac:dyDescent="0.2">
      <c r="A116" s="1">
        <v>2012901</v>
      </c>
      <c r="B116" s="1" t="s">
        <v>680</v>
      </c>
      <c r="C116" s="1" t="str">
        <f>"9788024614137"</f>
        <v>9788024614137</v>
      </c>
      <c r="D116" s="1" t="str">
        <f>"9788024627281"</f>
        <v>9788024627281</v>
      </c>
      <c r="E116" s="2" t="s">
        <v>681</v>
      </c>
      <c r="F116" s="2" t="s">
        <v>561</v>
      </c>
      <c r="G116" s="1" t="s">
        <v>24</v>
      </c>
      <c r="H116" s="1">
        <v>1</v>
      </c>
      <c r="J116" s="1" t="s">
        <v>624</v>
      </c>
      <c r="K116" s="1" t="s">
        <v>43</v>
      </c>
      <c r="L116" s="1" t="s">
        <v>682</v>
      </c>
      <c r="M116" s="1">
        <v>301</v>
      </c>
      <c r="N116" s="1" t="s">
        <v>683</v>
      </c>
      <c r="O116" s="1" t="s">
        <v>39</v>
      </c>
      <c r="P116" s="4">
        <v>14.68</v>
      </c>
      <c r="Q116" s="5">
        <f t="shared" si="3"/>
        <v>17.616</v>
      </c>
      <c r="R116" s="4">
        <v>18.350000000000001</v>
      </c>
      <c r="S116" s="5">
        <f t="shared" si="4"/>
        <v>22.02</v>
      </c>
      <c r="T116" s="4">
        <v>22.02</v>
      </c>
      <c r="U116" s="5">
        <f t="shared" si="5"/>
        <v>26.423999999999999</v>
      </c>
      <c r="V116" s="1" t="s">
        <v>31</v>
      </c>
    </row>
    <row r="117" spans="1:22" x14ac:dyDescent="0.2">
      <c r="A117" s="1">
        <v>2012902</v>
      </c>
      <c r="B117" s="1" t="s">
        <v>684</v>
      </c>
      <c r="C117" s="1" t="str">
        <f>"9788024612751"</f>
        <v>9788024612751</v>
      </c>
      <c r="D117" s="1" t="str">
        <f>"9788024627298"</f>
        <v>9788024627298</v>
      </c>
      <c r="E117" s="2" t="s">
        <v>48</v>
      </c>
      <c r="F117" s="2" t="s">
        <v>561</v>
      </c>
      <c r="G117" s="1" t="s">
        <v>24</v>
      </c>
      <c r="H117" s="1">
        <v>1</v>
      </c>
      <c r="I117" s="1" t="s">
        <v>623</v>
      </c>
      <c r="J117" s="1" t="s">
        <v>624</v>
      </c>
      <c r="K117" s="1" t="s">
        <v>43</v>
      </c>
      <c r="L117" s="1" t="s">
        <v>685</v>
      </c>
      <c r="M117" s="1" t="s">
        <v>686</v>
      </c>
      <c r="N117" s="1" t="s">
        <v>687</v>
      </c>
      <c r="O117" s="1" t="s">
        <v>39</v>
      </c>
      <c r="P117" s="4">
        <v>13.76</v>
      </c>
      <c r="Q117" s="5">
        <f t="shared" si="3"/>
        <v>16.512</v>
      </c>
      <c r="R117" s="4">
        <v>17.2</v>
      </c>
      <c r="S117" s="5">
        <f t="shared" si="4"/>
        <v>20.639999999999997</v>
      </c>
      <c r="T117" s="4">
        <v>20.64</v>
      </c>
      <c r="U117" s="5">
        <f t="shared" si="5"/>
        <v>24.768000000000001</v>
      </c>
      <c r="V117" s="1" t="s">
        <v>31</v>
      </c>
    </row>
    <row r="118" spans="1:22" x14ac:dyDescent="0.2">
      <c r="A118" s="1">
        <v>2012903</v>
      </c>
      <c r="B118" s="1" t="s">
        <v>688</v>
      </c>
      <c r="C118" s="1" t="str">
        <f>"9788024621487"</f>
        <v>9788024621487</v>
      </c>
      <c r="D118" s="1" t="str">
        <f>"9788024627410"</f>
        <v>9788024627410</v>
      </c>
      <c r="E118" s="2" t="s">
        <v>212</v>
      </c>
      <c r="F118" s="2" t="s">
        <v>561</v>
      </c>
      <c r="G118" s="1" t="s">
        <v>24</v>
      </c>
      <c r="H118" s="1">
        <v>1</v>
      </c>
      <c r="J118" s="1" t="s">
        <v>689</v>
      </c>
      <c r="K118" s="1" t="s">
        <v>690</v>
      </c>
      <c r="L118" s="1" t="s">
        <v>691</v>
      </c>
      <c r="M118" s="1">
        <v>332</v>
      </c>
      <c r="N118" s="1" t="s">
        <v>692</v>
      </c>
      <c r="O118" s="1" t="s">
        <v>39</v>
      </c>
      <c r="P118" s="4">
        <v>13.76</v>
      </c>
      <c r="Q118" s="5">
        <f t="shared" si="3"/>
        <v>16.512</v>
      </c>
      <c r="R118" s="4">
        <v>17.2</v>
      </c>
      <c r="S118" s="5">
        <f t="shared" si="4"/>
        <v>20.639999999999997</v>
      </c>
      <c r="T118" s="4">
        <v>20.64</v>
      </c>
      <c r="U118" s="5">
        <f t="shared" si="5"/>
        <v>24.768000000000001</v>
      </c>
      <c r="V118" s="1" t="s">
        <v>31</v>
      </c>
    </row>
    <row r="119" spans="1:22" x14ac:dyDescent="0.2">
      <c r="A119" s="1">
        <v>2012904</v>
      </c>
      <c r="B119" s="1" t="s">
        <v>693</v>
      </c>
      <c r="C119" s="1" t="str">
        <f>"9788024608976"</f>
        <v>9788024608976</v>
      </c>
      <c r="D119" s="1" t="str">
        <f>"9788024627502"</f>
        <v>9788024627502</v>
      </c>
      <c r="E119" s="2" t="s">
        <v>694</v>
      </c>
      <c r="F119" s="2" t="s">
        <v>561</v>
      </c>
      <c r="G119" s="1" t="s">
        <v>24</v>
      </c>
      <c r="H119" s="1">
        <v>1</v>
      </c>
      <c r="J119" s="1" t="s">
        <v>695</v>
      </c>
      <c r="K119" s="1" t="s">
        <v>696</v>
      </c>
      <c r="L119" s="1" t="s">
        <v>697</v>
      </c>
      <c r="M119" s="1" t="s">
        <v>698</v>
      </c>
      <c r="N119" s="1" t="s">
        <v>699</v>
      </c>
      <c r="O119" s="1" t="s">
        <v>39</v>
      </c>
      <c r="P119" s="4">
        <v>13.76</v>
      </c>
      <c r="Q119" s="5">
        <f t="shared" si="3"/>
        <v>16.512</v>
      </c>
      <c r="R119" s="4">
        <v>17.2</v>
      </c>
      <c r="S119" s="5">
        <f t="shared" si="4"/>
        <v>20.639999999999997</v>
      </c>
      <c r="T119" s="4">
        <v>20.64</v>
      </c>
      <c r="U119" s="5">
        <f t="shared" si="5"/>
        <v>24.768000000000001</v>
      </c>
      <c r="V119" s="1" t="s">
        <v>31</v>
      </c>
    </row>
    <row r="120" spans="1:22" x14ac:dyDescent="0.2">
      <c r="A120" s="1">
        <v>2012906</v>
      </c>
      <c r="B120" s="1" t="s">
        <v>700</v>
      </c>
      <c r="C120" s="1" t="str">
        <f>"9788024622668"</f>
        <v>9788024622668</v>
      </c>
      <c r="D120" s="1" t="str">
        <f>"9788024623047"</f>
        <v>9788024623047</v>
      </c>
      <c r="E120" s="2" t="s">
        <v>223</v>
      </c>
      <c r="F120" s="2" t="s">
        <v>561</v>
      </c>
      <c r="G120" s="1" t="s">
        <v>24</v>
      </c>
      <c r="H120" s="1">
        <v>1</v>
      </c>
      <c r="J120" s="1" t="s">
        <v>701</v>
      </c>
      <c r="K120" s="1" t="s">
        <v>111</v>
      </c>
      <c r="L120" s="1" t="s">
        <v>702</v>
      </c>
      <c r="M120" s="1" t="s">
        <v>703</v>
      </c>
      <c r="N120" s="1" t="s">
        <v>704</v>
      </c>
      <c r="O120" s="1" t="s">
        <v>39</v>
      </c>
      <c r="P120" s="4">
        <v>20.18</v>
      </c>
      <c r="Q120" s="5">
        <f t="shared" si="3"/>
        <v>24.215999999999998</v>
      </c>
      <c r="R120" s="4">
        <v>25.23</v>
      </c>
      <c r="S120" s="5">
        <f t="shared" si="4"/>
        <v>30.276</v>
      </c>
      <c r="T120" s="4">
        <v>30.28</v>
      </c>
      <c r="U120" s="5">
        <f t="shared" si="5"/>
        <v>36.335999999999999</v>
      </c>
      <c r="V120" s="1" t="s">
        <v>31</v>
      </c>
    </row>
    <row r="121" spans="1:22" x14ac:dyDescent="0.2">
      <c r="A121" s="1">
        <v>2012907</v>
      </c>
      <c r="B121" s="1" t="s">
        <v>705</v>
      </c>
      <c r="C121" s="1" t="str">
        <f>"9788024618913"</f>
        <v>9788024618913</v>
      </c>
      <c r="D121" s="1" t="str">
        <f>"9788024623382"</f>
        <v>9788024623382</v>
      </c>
      <c r="E121" s="2" t="s">
        <v>77</v>
      </c>
      <c r="F121" s="2" t="s">
        <v>561</v>
      </c>
      <c r="G121" s="1" t="s">
        <v>24</v>
      </c>
      <c r="H121" s="1">
        <v>1</v>
      </c>
      <c r="J121" s="1" t="s">
        <v>706</v>
      </c>
      <c r="K121" s="1" t="s">
        <v>290</v>
      </c>
      <c r="L121" s="1" t="s">
        <v>707</v>
      </c>
      <c r="M121" s="1" t="s">
        <v>708</v>
      </c>
      <c r="N121" s="1" t="s">
        <v>709</v>
      </c>
      <c r="O121" s="1" t="s">
        <v>30</v>
      </c>
      <c r="P121" s="4">
        <v>13.76</v>
      </c>
      <c r="Q121" s="5">
        <f t="shared" si="3"/>
        <v>16.512</v>
      </c>
      <c r="R121" s="4">
        <v>17.2</v>
      </c>
      <c r="S121" s="5">
        <f t="shared" si="4"/>
        <v>20.639999999999997</v>
      </c>
      <c r="T121" s="4">
        <v>20.64</v>
      </c>
      <c r="U121" s="5">
        <f t="shared" si="5"/>
        <v>24.768000000000001</v>
      </c>
      <c r="V121" s="1" t="s">
        <v>31</v>
      </c>
    </row>
    <row r="122" spans="1:22" x14ac:dyDescent="0.2">
      <c r="A122" s="1">
        <v>2012908</v>
      </c>
      <c r="B122" s="1" t="s">
        <v>710</v>
      </c>
      <c r="C122" s="1" t="str">
        <f>"9788024618999"</f>
        <v>9788024618999</v>
      </c>
      <c r="D122" s="1" t="str">
        <f>"9788024623481"</f>
        <v>9788024623481</v>
      </c>
      <c r="E122" s="2" t="s">
        <v>253</v>
      </c>
      <c r="F122" s="2" t="s">
        <v>561</v>
      </c>
      <c r="G122" s="1" t="s">
        <v>24</v>
      </c>
      <c r="H122" s="1">
        <v>2</v>
      </c>
      <c r="J122" s="1" t="s">
        <v>358</v>
      </c>
      <c r="K122" s="1" t="s">
        <v>359</v>
      </c>
      <c r="L122" s="1" t="s">
        <v>711</v>
      </c>
      <c r="M122" s="1" t="s">
        <v>712</v>
      </c>
      <c r="N122" s="1" t="s">
        <v>713</v>
      </c>
      <c r="O122" s="1" t="s">
        <v>39</v>
      </c>
      <c r="P122" s="4">
        <v>13.76</v>
      </c>
      <c r="Q122" s="5">
        <f t="shared" si="3"/>
        <v>16.512</v>
      </c>
      <c r="R122" s="4">
        <v>17.2</v>
      </c>
      <c r="S122" s="5">
        <f t="shared" si="4"/>
        <v>20.639999999999997</v>
      </c>
      <c r="T122" s="4">
        <v>20.64</v>
      </c>
      <c r="U122" s="5">
        <f t="shared" si="5"/>
        <v>24.768000000000001</v>
      </c>
      <c r="V122" s="1" t="s">
        <v>31</v>
      </c>
    </row>
    <row r="123" spans="1:22" x14ac:dyDescent="0.2">
      <c r="A123" s="1">
        <v>2012909</v>
      </c>
      <c r="B123" s="1" t="s">
        <v>714</v>
      </c>
      <c r="C123" s="1" t="str">
        <f>"9788024611761"</f>
        <v>9788024611761</v>
      </c>
      <c r="D123" s="1" t="str">
        <f>"9788024623627"</f>
        <v>9788024623627</v>
      </c>
      <c r="E123" s="2" t="s">
        <v>715</v>
      </c>
      <c r="F123" s="2" t="s">
        <v>561</v>
      </c>
      <c r="G123" s="1" t="s">
        <v>24</v>
      </c>
      <c r="H123" s="1">
        <v>1</v>
      </c>
      <c r="J123" s="1" t="s">
        <v>716</v>
      </c>
      <c r="K123" s="1" t="s">
        <v>64</v>
      </c>
      <c r="L123" s="1" t="s">
        <v>717</v>
      </c>
      <c r="M123" s="1" t="s">
        <v>718</v>
      </c>
      <c r="N123" s="1" t="s">
        <v>719</v>
      </c>
      <c r="O123" s="1" t="s">
        <v>39</v>
      </c>
      <c r="P123" s="4">
        <v>13.76</v>
      </c>
      <c r="Q123" s="5">
        <f t="shared" si="3"/>
        <v>16.512</v>
      </c>
      <c r="R123" s="4">
        <v>17.2</v>
      </c>
      <c r="S123" s="5">
        <f t="shared" si="4"/>
        <v>20.639999999999997</v>
      </c>
      <c r="T123" s="4">
        <v>20.64</v>
      </c>
      <c r="U123" s="5">
        <f t="shared" si="5"/>
        <v>24.768000000000001</v>
      </c>
      <c r="V123" s="1" t="s">
        <v>31</v>
      </c>
    </row>
    <row r="124" spans="1:22" x14ac:dyDescent="0.2">
      <c r="A124" s="1">
        <v>2012911</v>
      </c>
      <c r="B124" s="1" t="s">
        <v>720</v>
      </c>
      <c r="C124" s="1" t="str">
        <f>"9788024616827"</f>
        <v>9788024616827</v>
      </c>
      <c r="D124" s="1" t="str">
        <f>"9788024623733"</f>
        <v>9788024623733</v>
      </c>
      <c r="E124" s="2" t="s">
        <v>498</v>
      </c>
      <c r="F124" s="2" t="s">
        <v>561</v>
      </c>
      <c r="G124" s="1" t="s">
        <v>24</v>
      </c>
      <c r="H124" s="1">
        <v>1</v>
      </c>
      <c r="J124" s="1" t="s">
        <v>130</v>
      </c>
      <c r="K124" s="1" t="s">
        <v>64</v>
      </c>
      <c r="L124" s="1" t="s">
        <v>721</v>
      </c>
      <c r="M124" s="1" t="s">
        <v>722</v>
      </c>
      <c r="N124" s="1" t="s">
        <v>723</v>
      </c>
      <c r="O124" s="1" t="s">
        <v>39</v>
      </c>
      <c r="P124" s="4">
        <v>15.6</v>
      </c>
      <c r="Q124" s="5">
        <f t="shared" si="3"/>
        <v>18.72</v>
      </c>
      <c r="R124" s="4">
        <v>19.5</v>
      </c>
      <c r="S124" s="5">
        <f t="shared" si="4"/>
        <v>23.4</v>
      </c>
      <c r="T124" s="4">
        <v>23.39</v>
      </c>
      <c r="U124" s="5">
        <f t="shared" si="5"/>
        <v>28.068000000000001</v>
      </c>
      <c r="V124" s="1" t="s">
        <v>31</v>
      </c>
    </row>
    <row r="125" spans="1:22" x14ac:dyDescent="0.2">
      <c r="A125" s="1">
        <v>2012912</v>
      </c>
      <c r="B125" s="1" t="s">
        <v>724</v>
      </c>
      <c r="C125" s="1" t="str">
        <f>"9788024619743"</f>
        <v>9788024619743</v>
      </c>
      <c r="D125" s="1" t="str">
        <f>"9788024623849"</f>
        <v>9788024623849</v>
      </c>
      <c r="E125" s="2" t="s">
        <v>504</v>
      </c>
      <c r="F125" s="2" t="s">
        <v>561</v>
      </c>
      <c r="G125" s="1" t="s">
        <v>24</v>
      </c>
      <c r="H125" s="1">
        <v>2</v>
      </c>
      <c r="J125" s="1" t="s">
        <v>725</v>
      </c>
      <c r="K125" s="1" t="s">
        <v>570</v>
      </c>
      <c r="L125" s="1" t="s">
        <v>726</v>
      </c>
      <c r="M125" s="1" t="s">
        <v>727</v>
      </c>
      <c r="N125" s="1" t="s">
        <v>728</v>
      </c>
      <c r="O125" s="1" t="s">
        <v>39</v>
      </c>
      <c r="P125" s="4">
        <v>14.68</v>
      </c>
      <c r="Q125" s="5">
        <f t="shared" si="3"/>
        <v>17.616</v>
      </c>
      <c r="R125" s="4">
        <v>18.350000000000001</v>
      </c>
      <c r="S125" s="5">
        <f t="shared" si="4"/>
        <v>22.02</v>
      </c>
      <c r="T125" s="4">
        <v>22.02</v>
      </c>
      <c r="U125" s="5">
        <f t="shared" si="5"/>
        <v>26.423999999999999</v>
      </c>
      <c r="V125" s="1" t="s">
        <v>31</v>
      </c>
    </row>
    <row r="126" spans="1:22" x14ac:dyDescent="0.2">
      <c r="A126" s="1">
        <v>2012914</v>
      </c>
      <c r="B126" s="1" t="s">
        <v>729</v>
      </c>
      <c r="C126" s="1" t="str">
        <f>"9788024611273"</f>
        <v>9788024611273</v>
      </c>
      <c r="D126" s="1" t="str">
        <f>"9788024623863"</f>
        <v>9788024623863</v>
      </c>
      <c r="E126" s="2" t="s">
        <v>730</v>
      </c>
      <c r="F126" s="2" t="s">
        <v>561</v>
      </c>
      <c r="G126" s="1" t="s">
        <v>24</v>
      </c>
      <c r="H126" s="1">
        <v>1</v>
      </c>
      <c r="J126" s="1" t="s">
        <v>731</v>
      </c>
      <c r="K126" s="1" t="s">
        <v>43</v>
      </c>
      <c r="L126" s="1" t="s">
        <v>732</v>
      </c>
      <c r="M126" s="1" t="s">
        <v>626</v>
      </c>
      <c r="N126" s="1" t="s">
        <v>733</v>
      </c>
      <c r="O126" s="1" t="s">
        <v>39</v>
      </c>
      <c r="P126" s="4">
        <v>13.76</v>
      </c>
      <c r="Q126" s="5">
        <f t="shared" si="3"/>
        <v>16.512</v>
      </c>
      <c r="R126" s="4">
        <v>17.2</v>
      </c>
      <c r="S126" s="5">
        <f t="shared" si="4"/>
        <v>20.639999999999997</v>
      </c>
      <c r="T126" s="4">
        <v>20.64</v>
      </c>
      <c r="U126" s="5">
        <f t="shared" si="5"/>
        <v>24.768000000000001</v>
      </c>
      <c r="V126" s="1" t="s">
        <v>31</v>
      </c>
    </row>
    <row r="127" spans="1:22" x14ac:dyDescent="0.2">
      <c r="A127" s="1">
        <v>2012915</v>
      </c>
      <c r="B127" s="1" t="s">
        <v>734</v>
      </c>
      <c r="C127" s="1" t="str">
        <f>"9788024618593"</f>
        <v>9788024618593</v>
      </c>
      <c r="D127" s="1" t="str">
        <f>"9788024624389"</f>
        <v>9788024624389</v>
      </c>
      <c r="E127" s="2" t="s">
        <v>148</v>
      </c>
      <c r="F127" s="2" t="s">
        <v>561</v>
      </c>
      <c r="G127" s="1" t="s">
        <v>24</v>
      </c>
      <c r="H127" s="1">
        <v>1</v>
      </c>
      <c r="J127" s="1" t="s">
        <v>735</v>
      </c>
      <c r="K127" s="1" t="s">
        <v>736</v>
      </c>
      <c r="L127" s="1" t="s">
        <v>737</v>
      </c>
      <c r="M127" s="1" t="s">
        <v>738</v>
      </c>
      <c r="N127" s="1" t="s">
        <v>739</v>
      </c>
      <c r="O127" s="1" t="s">
        <v>39</v>
      </c>
      <c r="P127" s="4">
        <v>13.76</v>
      </c>
      <c r="Q127" s="5">
        <f t="shared" si="3"/>
        <v>16.512</v>
      </c>
      <c r="R127" s="4">
        <v>17.2</v>
      </c>
      <c r="S127" s="5">
        <f t="shared" si="4"/>
        <v>20.639999999999997</v>
      </c>
      <c r="T127" s="4">
        <v>20.64</v>
      </c>
      <c r="U127" s="5">
        <f t="shared" si="5"/>
        <v>24.768000000000001</v>
      </c>
      <c r="V127" s="1" t="s">
        <v>31</v>
      </c>
    </row>
    <row r="128" spans="1:22" x14ac:dyDescent="0.2">
      <c r="A128" s="1">
        <v>2012916</v>
      </c>
      <c r="B128" s="1" t="s">
        <v>740</v>
      </c>
      <c r="C128" s="1" t="str">
        <f>"9788024622293"</f>
        <v>9788024622293</v>
      </c>
      <c r="D128" s="1" t="str">
        <f>"9788024624402"</f>
        <v>9788024624402</v>
      </c>
      <c r="E128" s="2" t="s">
        <v>741</v>
      </c>
      <c r="F128" s="2" t="s">
        <v>561</v>
      </c>
      <c r="G128" s="1" t="s">
        <v>24</v>
      </c>
      <c r="H128" s="1">
        <v>1</v>
      </c>
      <c r="J128" s="1" t="s">
        <v>742</v>
      </c>
      <c r="K128" s="1" t="s">
        <v>341</v>
      </c>
      <c r="L128" s="1" t="s">
        <v>743</v>
      </c>
      <c r="M128" s="1">
        <v>100</v>
      </c>
      <c r="N128" s="1" t="s">
        <v>744</v>
      </c>
      <c r="O128" s="1" t="s">
        <v>30</v>
      </c>
      <c r="P128" s="4">
        <v>13.76</v>
      </c>
      <c r="Q128" s="5">
        <f t="shared" si="3"/>
        <v>16.512</v>
      </c>
      <c r="R128" s="4">
        <v>17.2</v>
      </c>
      <c r="S128" s="5">
        <f t="shared" si="4"/>
        <v>20.639999999999997</v>
      </c>
      <c r="T128" s="4">
        <v>20.64</v>
      </c>
      <c r="U128" s="5">
        <f t="shared" si="5"/>
        <v>24.768000000000001</v>
      </c>
      <c r="V128" s="1" t="s">
        <v>31</v>
      </c>
    </row>
    <row r="129" spans="1:22" x14ac:dyDescent="0.2">
      <c r="A129" s="1">
        <v>2012917</v>
      </c>
      <c r="B129" s="1" t="s">
        <v>745</v>
      </c>
      <c r="C129" s="1" t="str">
        <f>"9788024622385"</f>
        <v>9788024622385</v>
      </c>
      <c r="D129" s="1" t="str">
        <f>"9788024624662"</f>
        <v>9788024624662</v>
      </c>
      <c r="E129" s="2" t="s">
        <v>41</v>
      </c>
      <c r="F129" s="2" t="s">
        <v>561</v>
      </c>
      <c r="G129" s="1" t="s">
        <v>24</v>
      </c>
      <c r="H129" s="1">
        <v>1</v>
      </c>
      <c r="J129" s="1" t="s">
        <v>746</v>
      </c>
      <c r="K129" s="1" t="s">
        <v>124</v>
      </c>
      <c r="L129" s="1" t="s">
        <v>747</v>
      </c>
      <c r="M129" s="1" t="s">
        <v>748</v>
      </c>
      <c r="N129" s="1" t="s">
        <v>749</v>
      </c>
      <c r="O129" s="1" t="s">
        <v>39</v>
      </c>
      <c r="P129" s="4">
        <v>13.76</v>
      </c>
      <c r="Q129" s="5">
        <f t="shared" si="3"/>
        <v>16.512</v>
      </c>
      <c r="R129" s="4">
        <v>17.2</v>
      </c>
      <c r="S129" s="5">
        <f t="shared" si="4"/>
        <v>20.639999999999997</v>
      </c>
      <c r="T129" s="4">
        <v>20.64</v>
      </c>
      <c r="U129" s="5">
        <f t="shared" si="5"/>
        <v>24.768000000000001</v>
      </c>
      <c r="V129" s="1" t="s">
        <v>31</v>
      </c>
    </row>
    <row r="130" spans="1:22" x14ac:dyDescent="0.2">
      <c r="A130" s="1">
        <v>2012920</v>
      </c>
      <c r="B130" s="1" t="s">
        <v>750</v>
      </c>
      <c r="C130" s="1" t="str">
        <f>"9788024625256"</f>
        <v>9788024625256</v>
      </c>
      <c r="D130" s="1" t="str">
        <f>"9788024625287"</f>
        <v>9788024625287</v>
      </c>
      <c r="E130" s="2" t="s">
        <v>22</v>
      </c>
      <c r="F130" s="2" t="s">
        <v>561</v>
      </c>
      <c r="G130" s="1" t="s">
        <v>24</v>
      </c>
      <c r="H130" s="1">
        <v>1</v>
      </c>
      <c r="J130" s="1" t="s">
        <v>603</v>
      </c>
      <c r="K130" s="1" t="s">
        <v>111</v>
      </c>
      <c r="L130" s="1" t="s">
        <v>751</v>
      </c>
      <c r="M130" s="1" t="s">
        <v>752</v>
      </c>
      <c r="N130" s="1" t="s">
        <v>753</v>
      </c>
      <c r="O130" s="1" t="s">
        <v>754</v>
      </c>
      <c r="P130" s="4">
        <v>13.76</v>
      </c>
      <c r="Q130" s="5">
        <f t="shared" si="3"/>
        <v>16.512</v>
      </c>
      <c r="R130" s="4">
        <v>17.2</v>
      </c>
      <c r="S130" s="5">
        <f t="shared" si="4"/>
        <v>20.639999999999997</v>
      </c>
      <c r="T130" s="4">
        <v>20.64</v>
      </c>
      <c r="U130" s="5">
        <f t="shared" si="5"/>
        <v>24.768000000000001</v>
      </c>
      <c r="V130" s="1" t="s">
        <v>31</v>
      </c>
    </row>
    <row r="131" spans="1:22" x14ac:dyDescent="0.2">
      <c r="A131" s="1">
        <v>2012922</v>
      </c>
      <c r="B131" s="1" t="s">
        <v>755</v>
      </c>
      <c r="C131" s="1" t="str">
        <f>"9788071849445"</f>
        <v>9788071849445</v>
      </c>
      <c r="D131" s="1" t="str">
        <f>"9788024625645"</f>
        <v>9788024625645</v>
      </c>
      <c r="E131" s="2" t="s">
        <v>756</v>
      </c>
      <c r="F131" s="2" t="s">
        <v>561</v>
      </c>
      <c r="G131" s="1" t="s">
        <v>24</v>
      </c>
      <c r="H131" s="1">
        <v>1</v>
      </c>
      <c r="J131" s="1" t="s">
        <v>757</v>
      </c>
      <c r="K131" s="1" t="s">
        <v>341</v>
      </c>
      <c r="L131" s="1" t="s">
        <v>758</v>
      </c>
      <c r="M131" s="1" t="s">
        <v>759</v>
      </c>
      <c r="N131" s="1" t="s">
        <v>760</v>
      </c>
      <c r="O131" s="1" t="s">
        <v>39</v>
      </c>
      <c r="P131" s="4">
        <v>13.76</v>
      </c>
      <c r="Q131" s="5">
        <f t="shared" ref="Q131:Q194" si="6">P131*1.2</f>
        <v>16.512</v>
      </c>
      <c r="R131" s="4">
        <v>17.2</v>
      </c>
      <c r="S131" s="5">
        <f t="shared" ref="S131:S194" si="7">R131*1.2</f>
        <v>20.639999999999997</v>
      </c>
      <c r="T131" s="4">
        <v>20.64</v>
      </c>
      <c r="U131" s="5">
        <f t="shared" ref="U131:U194" si="8">T131*1.2</f>
        <v>24.768000000000001</v>
      </c>
      <c r="V131" s="1" t="s">
        <v>31</v>
      </c>
    </row>
    <row r="132" spans="1:22" x14ac:dyDescent="0.2">
      <c r="A132" s="1">
        <v>2012923</v>
      </c>
      <c r="B132" s="1" t="s">
        <v>761</v>
      </c>
      <c r="C132" s="1" t="str">
        <f>"9788024625515"</f>
        <v>9788024625515</v>
      </c>
      <c r="D132" s="1" t="str">
        <f>"9788024625720"</f>
        <v>9788024625720</v>
      </c>
      <c r="E132" s="2" t="s">
        <v>166</v>
      </c>
      <c r="F132" s="2" t="s">
        <v>561</v>
      </c>
      <c r="G132" s="1" t="s">
        <v>24</v>
      </c>
      <c r="H132" s="1">
        <v>1</v>
      </c>
      <c r="J132" s="1" t="s">
        <v>762</v>
      </c>
      <c r="K132" s="1" t="s">
        <v>763</v>
      </c>
      <c r="L132" s="1" t="s">
        <v>764</v>
      </c>
      <c r="M132" s="1" t="s">
        <v>765</v>
      </c>
      <c r="N132" s="1" t="s">
        <v>766</v>
      </c>
      <c r="O132" s="1" t="s">
        <v>767</v>
      </c>
      <c r="P132" s="4">
        <v>13.76</v>
      </c>
      <c r="Q132" s="5">
        <f t="shared" si="6"/>
        <v>16.512</v>
      </c>
      <c r="R132" s="4">
        <v>17.2</v>
      </c>
      <c r="S132" s="5">
        <f t="shared" si="7"/>
        <v>20.639999999999997</v>
      </c>
      <c r="T132" s="4">
        <v>20.64</v>
      </c>
      <c r="U132" s="5">
        <f t="shared" si="8"/>
        <v>24.768000000000001</v>
      </c>
      <c r="V132" s="1" t="s">
        <v>31</v>
      </c>
    </row>
    <row r="133" spans="1:22" x14ac:dyDescent="0.2">
      <c r="A133" s="1">
        <v>2012924</v>
      </c>
      <c r="B133" s="1" t="s">
        <v>768</v>
      </c>
      <c r="C133" s="1" t="str">
        <f>"9788024611952"</f>
        <v>9788024611952</v>
      </c>
      <c r="D133" s="1" t="str">
        <f>"9788024625768"</f>
        <v>9788024625768</v>
      </c>
      <c r="E133" s="2" t="s">
        <v>769</v>
      </c>
      <c r="F133" s="2" t="s">
        <v>561</v>
      </c>
      <c r="G133" s="1" t="s">
        <v>24</v>
      </c>
      <c r="H133" s="1">
        <v>1</v>
      </c>
      <c r="I133" s="1" t="s">
        <v>187</v>
      </c>
      <c r="J133" s="1" t="s">
        <v>770</v>
      </c>
      <c r="K133" s="1" t="s">
        <v>72</v>
      </c>
      <c r="L133" s="1" t="s">
        <v>771</v>
      </c>
      <c r="M133" s="1" t="s">
        <v>772</v>
      </c>
      <c r="N133" s="1" t="s">
        <v>773</v>
      </c>
      <c r="O133" s="1" t="s">
        <v>30</v>
      </c>
      <c r="P133" s="4">
        <v>22.02</v>
      </c>
      <c r="Q133" s="5">
        <f t="shared" si="6"/>
        <v>26.423999999999999</v>
      </c>
      <c r="R133" s="4">
        <v>27.52</v>
      </c>
      <c r="S133" s="5">
        <f t="shared" si="7"/>
        <v>33.024000000000001</v>
      </c>
      <c r="T133" s="4">
        <v>33.03</v>
      </c>
      <c r="U133" s="5">
        <f t="shared" si="8"/>
        <v>39.636000000000003</v>
      </c>
      <c r="V133" s="1" t="s">
        <v>31</v>
      </c>
    </row>
    <row r="134" spans="1:22" x14ac:dyDescent="0.2">
      <c r="A134" s="1">
        <v>2012925</v>
      </c>
      <c r="B134" s="1" t="s">
        <v>774</v>
      </c>
      <c r="C134" s="1" t="str">
        <f>"9788024614496"</f>
        <v>9788024614496</v>
      </c>
      <c r="D134" s="1" t="str">
        <f>"9788024625775"</f>
        <v>9788024625775</v>
      </c>
      <c r="E134" s="2" t="s">
        <v>775</v>
      </c>
      <c r="F134" s="2" t="s">
        <v>561</v>
      </c>
      <c r="G134" s="1" t="s">
        <v>24</v>
      </c>
      <c r="H134" s="1">
        <v>1</v>
      </c>
      <c r="I134" s="1" t="s">
        <v>187</v>
      </c>
      <c r="J134" s="1" t="s">
        <v>776</v>
      </c>
      <c r="K134" s="1" t="s">
        <v>777</v>
      </c>
      <c r="L134" s="1" t="s">
        <v>778</v>
      </c>
      <c r="M134" s="1" t="s">
        <v>779</v>
      </c>
      <c r="N134" s="1" t="s">
        <v>780</v>
      </c>
      <c r="O134" s="1" t="s">
        <v>30</v>
      </c>
      <c r="P134" s="4">
        <v>22.94</v>
      </c>
      <c r="Q134" s="5">
        <f t="shared" si="6"/>
        <v>27.528000000000002</v>
      </c>
      <c r="R134" s="4">
        <v>28.67</v>
      </c>
      <c r="S134" s="5">
        <f t="shared" si="7"/>
        <v>34.404000000000003</v>
      </c>
      <c r="T134" s="4">
        <v>34.4</v>
      </c>
      <c r="U134" s="5">
        <f t="shared" si="8"/>
        <v>41.279999999999994</v>
      </c>
      <c r="V134" s="1" t="s">
        <v>31</v>
      </c>
    </row>
    <row r="135" spans="1:22" x14ac:dyDescent="0.2">
      <c r="A135" s="1">
        <v>2012926</v>
      </c>
      <c r="B135" s="1" t="s">
        <v>781</v>
      </c>
      <c r="C135" s="1" t="str">
        <f>"9788024624822"</f>
        <v>9788024624822</v>
      </c>
      <c r="D135" s="1" t="str">
        <f>"9788024625980"</f>
        <v>9788024625980</v>
      </c>
      <c r="E135" s="2" t="s">
        <v>91</v>
      </c>
      <c r="F135" s="2" t="s">
        <v>561</v>
      </c>
      <c r="G135" s="1" t="s">
        <v>24</v>
      </c>
      <c r="H135" s="1">
        <v>1</v>
      </c>
      <c r="J135" s="1" t="s">
        <v>782</v>
      </c>
      <c r="K135" s="1" t="s">
        <v>111</v>
      </c>
      <c r="L135" s="1" t="s">
        <v>783</v>
      </c>
      <c r="M135" s="1" t="s">
        <v>784</v>
      </c>
      <c r="N135" s="1" t="s">
        <v>785</v>
      </c>
      <c r="O135" s="1" t="s">
        <v>39</v>
      </c>
      <c r="P135" s="4">
        <v>19.27</v>
      </c>
      <c r="Q135" s="5">
        <f t="shared" si="6"/>
        <v>23.123999999999999</v>
      </c>
      <c r="R135" s="4">
        <v>24.08</v>
      </c>
      <c r="S135" s="5">
        <f t="shared" si="7"/>
        <v>28.895999999999997</v>
      </c>
      <c r="T135" s="4">
        <v>28.9</v>
      </c>
      <c r="U135" s="5">
        <f t="shared" si="8"/>
        <v>34.68</v>
      </c>
      <c r="V135" s="1" t="s">
        <v>31</v>
      </c>
    </row>
    <row r="136" spans="1:22" x14ac:dyDescent="0.2">
      <c r="A136" s="1">
        <v>2012927</v>
      </c>
      <c r="B136" s="1" t="s">
        <v>786</v>
      </c>
      <c r="C136" s="1" t="str">
        <f>"9788024621098"</f>
        <v>9788024621098</v>
      </c>
      <c r="D136" s="1" t="str">
        <f>"9788024626154"</f>
        <v>9788024626154</v>
      </c>
      <c r="E136" s="2" t="s">
        <v>212</v>
      </c>
      <c r="F136" s="2" t="s">
        <v>561</v>
      </c>
      <c r="G136" s="1" t="s">
        <v>24</v>
      </c>
      <c r="H136" s="1">
        <v>1</v>
      </c>
      <c r="J136" s="1" t="s">
        <v>787</v>
      </c>
      <c r="K136" s="1" t="s">
        <v>788</v>
      </c>
      <c r="L136" s="1" t="s">
        <v>789</v>
      </c>
      <c r="M136" s="1" t="s">
        <v>790</v>
      </c>
      <c r="N136" s="1" t="s">
        <v>791</v>
      </c>
      <c r="O136" s="1" t="s">
        <v>39</v>
      </c>
      <c r="P136" s="4">
        <v>13.76</v>
      </c>
      <c r="Q136" s="5">
        <f t="shared" si="6"/>
        <v>16.512</v>
      </c>
      <c r="R136" s="4">
        <v>17.2</v>
      </c>
      <c r="S136" s="5">
        <f t="shared" si="7"/>
        <v>20.639999999999997</v>
      </c>
      <c r="T136" s="4">
        <v>20.64</v>
      </c>
      <c r="U136" s="5">
        <f t="shared" si="8"/>
        <v>24.768000000000001</v>
      </c>
      <c r="V136" s="1" t="s">
        <v>31</v>
      </c>
    </row>
    <row r="137" spans="1:22" x14ac:dyDescent="0.2">
      <c r="A137" s="1">
        <v>2012928</v>
      </c>
      <c r="B137" s="1" t="s">
        <v>792</v>
      </c>
      <c r="C137" s="1" t="str">
        <f>"9788024621197"</f>
        <v>9788024621197</v>
      </c>
      <c r="D137" s="1" t="str">
        <f>"9788024626161"</f>
        <v>9788024626161</v>
      </c>
      <c r="E137" s="2" t="s">
        <v>517</v>
      </c>
      <c r="F137" s="2" t="s">
        <v>561</v>
      </c>
      <c r="G137" s="1" t="s">
        <v>24</v>
      </c>
      <c r="H137" s="1">
        <v>1</v>
      </c>
      <c r="J137" s="1" t="s">
        <v>793</v>
      </c>
      <c r="K137" s="1" t="s">
        <v>111</v>
      </c>
      <c r="L137" s="1" t="s">
        <v>794</v>
      </c>
      <c r="M137" s="1" t="s">
        <v>795</v>
      </c>
      <c r="N137" s="1" t="s">
        <v>796</v>
      </c>
      <c r="O137" s="1" t="s">
        <v>39</v>
      </c>
      <c r="P137" s="4">
        <v>18.350000000000001</v>
      </c>
      <c r="Q137" s="5">
        <f t="shared" si="6"/>
        <v>22.02</v>
      </c>
      <c r="R137" s="4">
        <v>22.94</v>
      </c>
      <c r="S137" s="5">
        <f t="shared" si="7"/>
        <v>27.528000000000002</v>
      </c>
      <c r="T137" s="4">
        <v>27.52</v>
      </c>
      <c r="U137" s="5">
        <f t="shared" si="8"/>
        <v>33.024000000000001</v>
      </c>
      <c r="V137" s="1" t="s">
        <v>31</v>
      </c>
    </row>
    <row r="138" spans="1:22" x14ac:dyDescent="0.2">
      <c r="A138" s="1">
        <v>2012929</v>
      </c>
      <c r="B138" s="1" t="s">
        <v>797</v>
      </c>
      <c r="C138" s="1" t="str">
        <f>"9788024626086"</f>
        <v>9788024626086</v>
      </c>
      <c r="D138" s="1" t="str">
        <f>"9788024626185"</f>
        <v>9788024626185</v>
      </c>
      <c r="E138" s="2" t="s">
        <v>91</v>
      </c>
      <c r="F138" s="2" t="s">
        <v>561</v>
      </c>
      <c r="G138" s="1" t="s">
        <v>24</v>
      </c>
      <c r="H138" s="1">
        <v>1</v>
      </c>
      <c r="J138" s="1" t="s">
        <v>798</v>
      </c>
      <c r="K138" s="1" t="s">
        <v>346</v>
      </c>
      <c r="L138" s="1" t="s">
        <v>799</v>
      </c>
      <c r="M138" s="1" t="s">
        <v>800</v>
      </c>
      <c r="N138" s="1" t="s">
        <v>801</v>
      </c>
      <c r="O138" s="1" t="s">
        <v>39</v>
      </c>
      <c r="P138" s="4">
        <v>13.76</v>
      </c>
      <c r="Q138" s="5">
        <f t="shared" si="6"/>
        <v>16.512</v>
      </c>
      <c r="R138" s="4">
        <v>17.2</v>
      </c>
      <c r="S138" s="5">
        <f t="shared" si="7"/>
        <v>20.639999999999997</v>
      </c>
      <c r="T138" s="4">
        <v>20.64</v>
      </c>
      <c r="U138" s="5">
        <f t="shared" si="8"/>
        <v>24.768000000000001</v>
      </c>
      <c r="V138" s="1" t="s">
        <v>31</v>
      </c>
    </row>
    <row r="139" spans="1:22" x14ac:dyDescent="0.2">
      <c r="A139" s="1">
        <v>2012930</v>
      </c>
      <c r="B139" s="1" t="s">
        <v>802</v>
      </c>
      <c r="C139" s="1" t="str">
        <f>"9788024621944"</f>
        <v>9788024621944</v>
      </c>
      <c r="D139" s="1" t="str">
        <f>"9788024626376"</f>
        <v>9788024626376</v>
      </c>
      <c r="E139" s="2" t="s">
        <v>41</v>
      </c>
      <c r="F139" s="2" t="s">
        <v>561</v>
      </c>
      <c r="G139" s="1" t="s">
        <v>24</v>
      </c>
      <c r="H139" s="1">
        <v>1</v>
      </c>
      <c r="J139" s="1" t="s">
        <v>803</v>
      </c>
      <c r="K139" s="1" t="s">
        <v>248</v>
      </c>
      <c r="L139" s="1" t="s">
        <v>804</v>
      </c>
      <c r="M139" s="1" t="s">
        <v>805</v>
      </c>
      <c r="N139" s="1" t="s">
        <v>806</v>
      </c>
      <c r="O139" s="1" t="s">
        <v>39</v>
      </c>
      <c r="P139" s="4">
        <v>13.76</v>
      </c>
      <c r="Q139" s="5">
        <f t="shared" si="6"/>
        <v>16.512</v>
      </c>
      <c r="R139" s="4">
        <v>17.2</v>
      </c>
      <c r="S139" s="5">
        <f t="shared" si="7"/>
        <v>20.639999999999997</v>
      </c>
      <c r="T139" s="4">
        <v>20.64</v>
      </c>
      <c r="U139" s="5">
        <f t="shared" si="8"/>
        <v>24.768000000000001</v>
      </c>
      <c r="V139" s="1" t="s">
        <v>31</v>
      </c>
    </row>
    <row r="140" spans="1:22" x14ac:dyDescent="0.2">
      <c r="A140" s="1">
        <v>2012931</v>
      </c>
      <c r="B140" s="1" t="s">
        <v>807</v>
      </c>
      <c r="C140" s="1" t="str">
        <f>"9788024622101"</f>
        <v>9788024622101</v>
      </c>
      <c r="D140" s="1" t="str">
        <f>"9788024626468"</f>
        <v>9788024626468</v>
      </c>
      <c r="E140" s="2" t="s">
        <v>55</v>
      </c>
      <c r="F140" s="2" t="s">
        <v>561</v>
      </c>
      <c r="G140" s="1" t="s">
        <v>24</v>
      </c>
      <c r="H140" s="1">
        <v>2</v>
      </c>
      <c r="J140" s="1" t="s">
        <v>808</v>
      </c>
      <c r="K140" s="1" t="s">
        <v>809</v>
      </c>
      <c r="L140" s="1" t="s">
        <v>810</v>
      </c>
      <c r="M140" s="1" t="s">
        <v>811</v>
      </c>
      <c r="N140" s="1" t="s">
        <v>812</v>
      </c>
      <c r="O140" s="1" t="s">
        <v>30</v>
      </c>
      <c r="P140" s="4">
        <v>13.76</v>
      </c>
      <c r="Q140" s="5">
        <f t="shared" si="6"/>
        <v>16.512</v>
      </c>
      <c r="R140" s="4">
        <v>17.2</v>
      </c>
      <c r="S140" s="5">
        <f t="shared" si="7"/>
        <v>20.639999999999997</v>
      </c>
      <c r="T140" s="4">
        <v>20.64</v>
      </c>
      <c r="U140" s="5">
        <f t="shared" si="8"/>
        <v>24.768000000000001</v>
      </c>
      <c r="V140" s="1" t="s">
        <v>31</v>
      </c>
    </row>
    <row r="141" spans="1:22" x14ac:dyDescent="0.2">
      <c r="A141" s="1">
        <v>2012932</v>
      </c>
      <c r="B141" s="1" t="s">
        <v>813</v>
      </c>
      <c r="C141" s="1" t="str">
        <f>"9788024621371"</f>
        <v>9788024621371</v>
      </c>
      <c r="D141" s="1" t="str">
        <f>"9788024626505"</f>
        <v>9788024626505</v>
      </c>
      <c r="E141" s="2" t="s">
        <v>199</v>
      </c>
      <c r="F141" s="2" t="s">
        <v>561</v>
      </c>
      <c r="G141" s="1" t="s">
        <v>24</v>
      </c>
      <c r="H141" s="1">
        <v>1</v>
      </c>
      <c r="J141" s="1" t="s">
        <v>814</v>
      </c>
      <c r="K141" s="1" t="s">
        <v>248</v>
      </c>
      <c r="L141" s="1" t="s">
        <v>815</v>
      </c>
      <c r="M141" s="1">
        <v>796</v>
      </c>
      <c r="N141" s="1" t="s">
        <v>816</v>
      </c>
      <c r="O141" s="1" t="s">
        <v>39</v>
      </c>
      <c r="P141" s="4">
        <v>13.76</v>
      </c>
      <c r="Q141" s="5">
        <f t="shared" si="6"/>
        <v>16.512</v>
      </c>
      <c r="R141" s="4">
        <v>17.2</v>
      </c>
      <c r="S141" s="5">
        <f t="shared" si="7"/>
        <v>20.639999999999997</v>
      </c>
      <c r="T141" s="4">
        <v>20.64</v>
      </c>
      <c r="U141" s="5">
        <f t="shared" si="8"/>
        <v>24.768000000000001</v>
      </c>
      <c r="V141" s="1" t="s">
        <v>31</v>
      </c>
    </row>
    <row r="142" spans="1:22" x14ac:dyDescent="0.2">
      <c r="A142" s="1">
        <v>2012933</v>
      </c>
      <c r="B142" s="1" t="s">
        <v>817</v>
      </c>
      <c r="C142" s="1" t="str">
        <f>"9788024621463"</f>
        <v>9788024621463</v>
      </c>
      <c r="D142" s="1" t="str">
        <f>"9788024627205"</f>
        <v>9788024627205</v>
      </c>
      <c r="E142" s="2" t="s">
        <v>212</v>
      </c>
      <c r="F142" s="2" t="s">
        <v>561</v>
      </c>
      <c r="G142" s="1" t="s">
        <v>24</v>
      </c>
      <c r="H142" s="1">
        <v>1</v>
      </c>
      <c r="J142" s="1" t="s">
        <v>818</v>
      </c>
      <c r="K142" s="1" t="s">
        <v>248</v>
      </c>
      <c r="L142" s="1" t="s">
        <v>819</v>
      </c>
      <c r="M142" s="1" t="s">
        <v>820</v>
      </c>
      <c r="N142" s="1" t="s">
        <v>821</v>
      </c>
      <c r="O142" s="1" t="s">
        <v>39</v>
      </c>
      <c r="P142" s="4">
        <v>13.76</v>
      </c>
      <c r="Q142" s="5">
        <f t="shared" si="6"/>
        <v>16.512</v>
      </c>
      <c r="R142" s="4">
        <v>17.2</v>
      </c>
      <c r="S142" s="5">
        <f t="shared" si="7"/>
        <v>20.639999999999997</v>
      </c>
      <c r="T142" s="4">
        <v>20.64</v>
      </c>
      <c r="U142" s="5">
        <f t="shared" si="8"/>
        <v>24.768000000000001</v>
      </c>
      <c r="V142" s="1" t="s">
        <v>31</v>
      </c>
    </row>
    <row r="143" spans="1:22" x14ac:dyDescent="0.2">
      <c r="A143" s="1">
        <v>2012934</v>
      </c>
      <c r="B143" s="1" t="s">
        <v>822</v>
      </c>
      <c r="C143" s="1" t="str">
        <f>"9788024622125"</f>
        <v>9788024622125</v>
      </c>
      <c r="D143" s="1" t="str">
        <f>"9788024627472"</f>
        <v>9788024627472</v>
      </c>
      <c r="E143" s="2" t="s">
        <v>517</v>
      </c>
      <c r="F143" s="2" t="s">
        <v>561</v>
      </c>
      <c r="G143" s="1" t="s">
        <v>24</v>
      </c>
      <c r="H143" s="1">
        <v>1</v>
      </c>
      <c r="J143" s="1" t="s">
        <v>823</v>
      </c>
      <c r="K143" s="1" t="s">
        <v>79</v>
      </c>
      <c r="L143" s="1" t="s">
        <v>824</v>
      </c>
      <c r="M143" s="1">
        <v>410</v>
      </c>
      <c r="N143" s="1" t="s">
        <v>825</v>
      </c>
      <c r="O143" s="1" t="s">
        <v>767</v>
      </c>
      <c r="P143" s="4">
        <v>13.76</v>
      </c>
      <c r="Q143" s="5">
        <f t="shared" si="6"/>
        <v>16.512</v>
      </c>
      <c r="R143" s="4">
        <v>17.2</v>
      </c>
      <c r="S143" s="5">
        <f t="shared" si="7"/>
        <v>20.639999999999997</v>
      </c>
      <c r="T143" s="4">
        <v>20.64</v>
      </c>
      <c r="U143" s="5">
        <f t="shared" si="8"/>
        <v>24.768000000000001</v>
      </c>
      <c r="V143" s="1" t="s">
        <v>31</v>
      </c>
    </row>
    <row r="144" spans="1:22" x14ac:dyDescent="0.2">
      <c r="A144" s="1">
        <v>2012935</v>
      </c>
      <c r="B144" s="1" t="s">
        <v>826</v>
      </c>
      <c r="C144" s="1" t="str">
        <f>"9788024621807"</f>
        <v>9788024621807</v>
      </c>
      <c r="D144" s="1" t="str">
        <f>"9788024627755"</f>
        <v>9788024627755</v>
      </c>
      <c r="E144" s="2" t="s">
        <v>575</v>
      </c>
      <c r="F144" s="2" t="s">
        <v>561</v>
      </c>
      <c r="G144" s="1" t="s">
        <v>24</v>
      </c>
      <c r="H144" s="1">
        <v>1</v>
      </c>
      <c r="J144" s="1" t="s">
        <v>827</v>
      </c>
      <c r="K144" s="1" t="s">
        <v>79</v>
      </c>
      <c r="L144" s="1" t="s">
        <v>828</v>
      </c>
      <c r="M144" s="1" t="s">
        <v>829</v>
      </c>
      <c r="N144" s="1" t="s">
        <v>830</v>
      </c>
      <c r="O144" s="1" t="s">
        <v>39</v>
      </c>
      <c r="P144" s="4">
        <v>13.76</v>
      </c>
      <c r="Q144" s="5">
        <f t="shared" si="6"/>
        <v>16.512</v>
      </c>
      <c r="R144" s="4">
        <v>17.2</v>
      </c>
      <c r="S144" s="5">
        <f t="shared" si="7"/>
        <v>20.639999999999997</v>
      </c>
      <c r="T144" s="4">
        <v>20.64</v>
      </c>
      <c r="U144" s="5">
        <f t="shared" si="8"/>
        <v>24.768000000000001</v>
      </c>
      <c r="V144" s="1" t="s">
        <v>31</v>
      </c>
    </row>
    <row r="145" spans="1:22" x14ac:dyDescent="0.2">
      <c r="A145" s="1">
        <v>2012936</v>
      </c>
      <c r="B145" s="1" t="s">
        <v>831</v>
      </c>
      <c r="C145" s="1" t="str">
        <f>"9788024627915"</f>
        <v>9788024627915</v>
      </c>
      <c r="D145" s="1" t="str">
        <f>"9788024628073"</f>
        <v>9788024628073</v>
      </c>
      <c r="E145" s="2" t="s">
        <v>91</v>
      </c>
      <c r="F145" s="2" t="s">
        <v>561</v>
      </c>
      <c r="G145" s="1" t="s">
        <v>24</v>
      </c>
      <c r="H145" s="1">
        <v>1</v>
      </c>
      <c r="J145" s="1" t="s">
        <v>832</v>
      </c>
      <c r="K145" s="1" t="s">
        <v>833</v>
      </c>
      <c r="L145" s="1" t="s">
        <v>834</v>
      </c>
      <c r="M145" s="1" t="s">
        <v>835</v>
      </c>
      <c r="N145" s="1" t="s">
        <v>836</v>
      </c>
      <c r="O145" s="1" t="s">
        <v>39</v>
      </c>
      <c r="P145" s="4">
        <v>13.76</v>
      </c>
      <c r="Q145" s="5">
        <f t="shared" si="6"/>
        <v>16.512</v>
      </c>
      <c r="R145" s="4">
        <v>17.2</v>
      </c>
      <c r="S145" s="5">
        <f t="shared" si="7"/>
        <v>20.639999999999997</v>
      </c>
      <c r="T145" s="4">
        <v>20.64</v>
      </c>
      <c r="U145" s="5">
        <f t="shared" si="8"/>
        <v>24.768000000000001</v>
      </c>
      <c r="V145" s="1" t="s">
        <v>31</v>
      </c>
    </row>
    <row r="146" spans="1:22" x14ac:dyDescent="0.2">
      <c r="A146" s="1">
        <v>2012937</v>
      </c>
      <c r="B146" s="1" t="s">
        <v>837</v>
      </c>
      <c r="C146" s="1" t="str">
        <f>"9788024627922"</f>
        <v>9788024627922</v>
      </c>
      <c r="D146" s="1" t="str">
        <f>"9788024628219"</f>
        <v>9788024628219</v>
      </c>
      <c r="E146" s="2" t="s">
        <v>122</v>
      </c>
      <c r="F146" s="2" t="s">
        <v>561</v>
      </c>
      <c r="G146" s="1" t="s">
        <v>24</v>
      </c>
      <c r="H146" s="1">
        <v>1</v>
      </c>
      <c r="J146" s="1" t="s">
        <v>838</v>
      </c>
      <c r="K146" s="1" t="s">
        <v>839</v>
      </c>
      <c r="L146" s="1" t="s">
        <v>840</v>
      </c>
      <c r="M146" s="1" t="s">
        <v>841</v>
      </c>
      <c r="N146" s="1" t="s">
        <v>842</v>
      </c>
      <c r="O146" s="1" t="s">
        <v>39</v>
      </c>
      <c r="P146" s="4">
        <v>13.76</v>
      </c>
      <c r="Q146" s="5">
        <f t="shared" si="6"/>
        <v>16.512</v>
      </c>
      <c r="R146" s="4">
        <v>17.2</v>
      </c>
      <c r="S146" s="5">
        <f t="shared" si="7"/>
        <v>20.639999999999997</v>
      </c>
      <c r="T146" s="4">
        <v>20.64</v>
      </c>
      <c r="U146" s="5">
        <f t="shared" si="8"/>
        <v>24.768000000000001</v>
      </c>
      <c r="V146" s="1" t="s">
        <v>31</v>
      </c>
    </row>
    <row r="147" spans="1:22" x14ac:dyDescent="0.2">
      <c r="A147" s="1">
        <v>2012938</v>
      </c>
      <c r="B147" s="1" t="s">
        <v>843</v>
      </c>
      <c r="C147" s="1" t="str">
        <f>"9788024627908"</f>
        <v>9788024627908</v>
      </c>
      <c r="D147" s="1" t="str">
        <f>"9788024628226"</f>
        <v>9788024628226</v>
      </c>
      <c r="E147" s="2" t="s">
        <v>122</v>
      </c>
      <c r="F147" s="2" t="s">
        <v>561</v>
      </c>
      <c r="G147" s="1" t="s">
        <v>24</v>
      </c>
      <c r="H147" s="1">
        <v>1</v>
      </c>
      <c r="J147" s="1" t="s">
        <v>838</v>
      </c>
      <c r="K147" s="1" t="s">
        <v>844</v>
      </c>
      <c r="L147" s="1" t="s">
        <v>845</v>
      </c>
      <c r="M147" s="1" t="s">
        <v>846</v>
      </c>
      <c r="N147" s="1" t="s">
        <v>847</v>
      </c>
      <c r="O147" s="1" t="s">
        <v>39</v>
      </c>
      <c r="P147" s="4">
        <v>13.76</v>
      </c>
      <c r="Q147" s="5">
        <f t="shared" si="6"/>
        <v>16.512</v>
      </c>
      <c r="R147" s="4">
        <v>17.2</v>
      </c>
      <c r="S147" s="5">
        <f t="shared" si="7"/>
        <v>20.639999999999997</v>
      </c>
      <c r="T147" s="4">
        <v>20.64</v>
      </c>
      <c r="U147" s="5">
        <f t="shared" si="8"/>
        <v>24.768000000000001</v>
      </c>
      <c r="V147" s="1" t="s">
        <v>31</v>
      </c>
    </row>
    <row r="148" spans="1:22" x14ac:dyDescent="0.2">
      <c r="A148" s="1">
        <v>2039870</v>
      </c>
      <c r="B148" s="1" t="s">
        <v>848</v>
      </c>
      <c r="C148" s="1" t="str">
        <f>"9788024626284"</f>
        <v>9788024626284</v>
      </c>
      <c r="D148" s="1" t="str">
        <f>"9788024626840"</f>
        <v>9788024626840</v>
      </c>
      <c r="E148" s="2" t="s">
        <v>103</v>
      </c>
      <c r="F148" s="2" t="s">
        <v>849</v>
      </c>
      <c r="G148" s="1" t="s">
        <v>24</v>
      </c>
      <c r="H148" s="1">
        <v>1</v>
      </c>
      <c r="J148" s="1" t="s">
        <v>850</v>
      </c>
      <c r="K148" s="1" t="s">
        <v>851</v>
      </c>
      <c r="L148" s="1" t="s">
        <v>375</v>
      </c>
      <c r="M148" s="1" t="s">
        <v>852</v>
      </c>
      <c r="N148" s="1" t="s">
        <v>853</v>
      </c>
      <c r="O148" s="1" t="s">
        <v>39</v>
      </c>
      <c r="P148" s="4">
        <v>15.6</v>
      </c>
      <c r="Q148" s="5">
        <f t="shared" si="6"/>
        <v>18.72</v>
      </c>
      <c r="R148" s="4">
        <v>19.5</v>
      </c>
      <c r="S148" s="5">
        <f t="shared" si="7"/>
        <v>23.4</v>
      </c>
      <c r="T148" s="4">
        <v>23.39</v>
      </c>
      <c r="U148" s="5">
        <f t="shared" si="8"/>
        <v>28.068000000000001</v>
      </c>
      <c r="V148" s="1" t="s">
        <v>31</v>
      </c>
    </row>
    <row r="149" spans="1:22" x14ac:dyDescent="0.2">
      <c r="A149" s="1">
        <v>2039871</v>
      </c>
      <c r="B149" s="1" t="s">
        <v>854</v>
      </c>
      <c r="C149" s="1" t="str">
        <f>"9788024626895"</f>
        <v>9788024626895</v>
      </c>
      <c r="D149" s="1" t="str">
        <f>"9788024626963"</f>
        <v>9788024626963</v>
      </c>
      <c r="E149" s="2" t="s">
        <v>855</v>
      </c>
      <c r="F149" s="2" t="s">
        <v>849</v>
      </c>
      <c r="G149" s="1" t="s">
        <v>24</v>
      </c>
      <c r="H149" s="1">
        <v>1</v>
      </c>
      <c r="J149" s="1" t="s">
        <v>856</v>
      </c>
      <c r="K149" s="1" t="s">
        <v>857</v>
      </c>
      <c r="L149" s="1" t="s">
        <v>858</v>
      </c>
      <c r="M149" s="1" t="s">
        <v>859</v>
      </c>
      <c r="N149" s="1" t="s">
        <v>860</v>
      </c>
      <c r="O149" s="1" t="s">
        <v>39</v>
      </c>
      <c r="P149" s="4">
        <v>16.510000000000002</v>
      </c>
      <c r="Q149" s="5">
        <f t="shared" si="6"/>
        <v>19.812000000000001</v>
      </c>
      <c r="R149" s="4">
        <v>20.64</v>
      </c>
      <c r="S149" s="5">
        <f t="shared" si="7"/>
        <v>24.768000000000001</v>
      </c>
      <c r="T149" s="4">
        <v>24.77</v>
      </c>
      <c r="U149" s="5">
        <f t="shared" si="8"/>
        <v>29.723999999999997</v>
      </c>
      <c r="V149" s="1" t="s">
        <v>31</v>
      </c>
    </row>
    <row r="150" spans="1:22" x14ac:dyDescent="0.2">
      <c r="A150" s="1">
        <v>2039872</v>
      </c>
      <c r="B150" s="1" t="s">
        <v>861</v>
      </c>
      <c r="C150" s="1" t="str">
        <f>"9788024628097"</f>
        <v>9788024628097</v>
      </c>
      <c r="D150" s="1" t="str">
        <f>"9788024628103"</f>
        <v>9788024628103</v>
      </c>
      <c r="E150" s="2" t="s">
        <v>855</v>
      </c>
      <c r="F150" s="2" t="s">
        <v>849</v>
      </c>
      <c r="G150" s="1" t="s">
        <v>24</v>
      </c>
      <c r="H150" s="1">
        <v>1</v>
      </c>
      <c r="J150" s="1" t="s">
        <v>862</v>
      </c>
      <c r="K150" s="1" t="s">
        <v>863</v>
      </c>
      <c r="L150" s="1" t="s">
        <v>864</v>
      </c>
      <c r="M150" s="1" t="s">
        <v>865</v>
      </c>
      <c r="N150" s="1" t="s">
        <v>866</v>
      </c>
      <c r="O150" s="1" t="s">
        <v>39</v>
      </c>
      <c r="P150" s="4">
        <v>13.76</v>
      </c>
      <c r="Q150" s="5">
        <f t="shared" si="6"/>
        <v>16.512</v>
      </c>
      <c r="R150" s="4">
        <v>17.2</v>
      </c>
      <c r="S150" s="5">
        <f t="shared" si="7"/>
        <v>20.639999999999997</v>
      </c>
      <c r="T150" s="4">
        <v>20.64</v>
      </c>
      <c r="U150" s="5">
        <f t="shared" si="8"/>
        <v>24.768000000000001</v>
      </c>
      <c r="V150" s="1" t="s">
        <v>31</v>
      </c>
    </row>
    <row r="151" spans="1:22" x14ac:dyDescent="0.2">
      <c r="A151" s="1">
        <v>2039873</v>
      </c>
      <c r="B151" s="1" t="s">
        <v>867</v>
      </c>
      <c r="C151" s="1" t="str">
        <f>"9788024628431"</f>
        <v>9788024628431</v>
      </c>
      <c r="D151" s="1" t="str">
        <f>"9788024628530"</f>
        <v>9788024628530</v>
      </c>
      <c r="E151" s="2" t="s">
        <v>868</v>
      </c>
      <c r="F151" s="2" t="s">
        <v>849</v>
      </c>
      <c r="G151" s="1" t="s">
        <v>24</v>
      </c>
      <c r="H151" s="1">
        <v>1</v>
      </c>
      <c r="J151" s="1" t="s">
        <v>869</v>
      </c>
      <c r="K151" s="1" t="s">
        <v>260</v>
      </c>
      <c r="L151" s="1" t="s">
        <v>870</v>
      </c>
      <c r="M151" s="1" t="s">
        <v>871</v>
      </c>
      <c r="N151" s="1" t="s">
        <v>872</v>
      </c>
      <c r="O151" s="1" t="s">
        <v>39</v>
      </c>
      <c r="P151" s="4">
        <v>13.76</v>
      </c>
      <c r="Q151" s="5">
        <f t="shared" si="6"/>
        <v>16.512</v>
      </c>
      <c r="R151" s="4">
        <v>17.2</v>
      </c>
      <c r="S151" s="5">
        <f t="shared" si="7"/>
        <v>20.639999999999997</v>
      </c>
      <c r="T151" s="4">
        <v>20.64</v>
      </c>
      <c r="U151" s="5">
        <f t="shared" si="8"/>
        <v>24.768000000000001</v>
      </c>
      <c r="V151" s="1" t="s">
        <v>31</v>
      </c>
    </row>
    <row r="152" spans="1:22" x14ac:dyDescent="0.2">
      <c r="A152" s="1">
        <v>2039874</v>
      </c>
      <c r="B152" s="1" t="s">
        <v>873</v>
      </c>
      <c r="C152" s="1" t="str">
        <f>"9788024624990"</f>
        <v>9788024624990</v>
      </c>
      <c r="D152" s="1" t="str">
        <f>"9788024629650"</f>
        <v>9788024629650</v>
      </c>
      <c r="E152" s="2" t="s">
        <v>22</v>
      </c>
      <c r="F152" s="2" t="s">
        <v>849</v>
      </c>
      <c r="G152" s="1" t="s">
        <v>24</v>
      </c>
      <c r="H152" s="1">
        <v>1</v>
      </c>
      <c r="J152" s="1" t="s">
        <v>874</v>
      </c>
      <c r="K152" s="1" t="s">
        <v>181</v>
      </c>
      <c r="L152" s="1" t="s">
        <v>875</v>
      </c>
      <c r="M152" s="1" t="s">
        <v>876</v>
      </c>
      <c r="N152" s="1" t="s">
        <v>877</v>
      </c>
      <c r="O152" s="1" t="s">
        <v>39</v>
      </c>
      <c r="P152" s="4">
        <v>16.510000000000002</v>
      </c>
      <c r="Q152" s="5">
        <f t="shared" si="6"/>
        <v>19.812000000000001</v>
      </c>
      <c r="R152" s="4">
        <v>20.64</v>
      </c>
      <c r="S152" s="5">
        <f t="shared" si="7"/>
        <v>24.768000000000001</v>
      </c>
      <c r="T152" s="4">
        <v>24.77</v>
      </c>
      <c r="U152" s="5">
        <f t="shared" si="8"/>
        <v>29.723999999999997</v>
      </c>
      <c r="V152" s="1" t="s">
        <v>31</v>
      </c>
    </row>
    <row r="153" spans="1:22" x14ac:dyDescent="0.2">
      <c r="A153" s="1">
        <v>2039875</v>
      </c>
      <c r="B153" s="1" t="s">
        <v>878</v>
      </c>
      <c r="C153" s="1" t="str">
        <f>"9788024625171"</f>
        <v>9788024625171</v>
      </c>
      <c r="D153" s="1" t="str">
        <f>"9788024625874"</f>
        <v>9788024625874</v>
      </c>
      <c r="E153" s="2" t="s">
        <v>166</v>
      </c>
      <c r="F153" s="2" t="s">
        <v>849</v>
      </c>
      <c r="G153" s="1" t="s">
        <v>24</v>
      </c>
      <c r="H153" s="1">
        <v>1</v>
      </c>
      <c r="J153" s="1" t="s">
        <v>143</v>
      </c>
      <c r="K153" s="1" t="s">
        <v>43</v>
      </c>
      <c r="L153" s="1" t="s">
        <v>879</v>
      </c>
      <c r="M153" s="1" t="s">
        <v>880</v>
      </c>
      <c r="N153" s="1" t="s">
        <v>881</v>
      </c>
      <c r="O153" s="1" t="s">
        <v>30</v>
      </c>
      <c r="P153" s="4">
        <v>16.510000000000002</v>
      </c>
      <c r="Q153" s="5">
        <f t="shared" si="6"/>
        <v>19.812000000000001</v>
      </c>
      <c r="R153" s="4">
        <v>20.64</v>
      </c>
      <c r="S153" s="5">
        <f t="shared" si="7"/>
        <v>24.768000000000001</v>
      </c>
      <c r="T153" s="4">
        <v>24.77</v>
      </c>
      <c r="U153" s="5">
        <f t="shared" si="8"/>
        <v>29.723999999999997</v>
      </c>
      <c r="V153" s="1" t="s">
        <v>31</v>
      </c>
    </row>
    <row r="154" spans="1:22" x14ac:dyDescent="0.2">
      <c r="A154" s="1">
        <v>2039876</v>
      </c>
      <c r="B154" s="1" t="s">
        <v>882</v>
      </c>
      <c r="C154" s="1" t="str">
        <f>"9788024624655"</f>
        <v>9788024624655</v>
      </c>
      <c r="D154" s="1" t="str">
        <f>"9788024625997"</f>
        <v>9788024625997</v>
      </c>
      <c r="E154" s="2" t="s">
        <v>855</v>
      </c>
      <c r="F154" s="2" t="s">
        <v>849</v>
      </c>
      <c r="G154" s="1" t="s">
        <v>24</v>
      </c>
      <c r="H154" s="1">
        <v>1</v>
      </c>
      <c r="J154" s="1" t="s">
        <v>883</v>
      </c>
      <c r="K154" s="1" t="s">
        <v>124</v>
      </c>
      <c r="L154" s="1" t="s">
        <v>884</v>
      </c>
      <c r="M154" s="1" t="s">
        <v>885</v>
      </c>
      <c r="N154" s="1" t="s">
        <v>886</v>
      </c>
      <c r="O154" s="1" t="s">
        <v>30</v>
      </c>
      <c r="P154" s="4">
        <v>16.510000000000002</v>
      </c>
      <c r="Q154" s="5">
        <f t="shared" si="6"/>
        <v>19.812000000000001</v>
      </c>
      <c r="R154" s="4">
        <v>20.64</v>
      </c>
      <c r="S154" s="5">
        <f t="shared" si="7"/>
        <v>24.768000000000001</v>
      </c>
      <c r="T154" s="4">
        <v>24.77</v>
      </c>
      <c r="U154" s="5">
        <f t="shared" si="8"/>
        <v>29.723999999999997</v>
      </c>
      <c r="V154" s="1" t="s">
        <v>31</v>
      </c>
    </row>
    <row r="155" spans="1:22" x14ac:dyDescent="0.2">
      <c r="A155" s="1">
        <v>2039877</v>
      </c>
      <c r="B155" s="1" t="s">
        <v>887</v>
      </c>
      <c r="C155" s="1" t="str">
        <f>"9788024604176"</f>
        <v>9788024604176</v>
      </c>
      <c r="D155" s="1" t="str">
        <f>"9788024626994"</f>
        <v>9788024626994</v>
      </c>
      <c r="E155" s="2" t="s">
        <v>888</v>
      </c>
      <c r="F155" s="2" t="s">
        <v>849</v>
      </c>
      <c r="G155" s="1" t="s">
        <v>24</v>
      </c>
      <c r="H155" s="1">
        <v>1</v>
      </c>
      <c r="J155" s="1" t="s">
        <v>889</v>
      </c>
      <c r="K155" s="1" t="s">
        <v>111</v>
      </c>
      <c r="L155" s="1" t="s">
        <v>890</v>
      </c>
      <c r="M155" s="1" t="s">
        <v>784</v>
      </c>
      <c r="N155" s="1" t="s">
        <v>891</v>
      </c>
      <c r="O155" s="1" t="s">
        <v>39</v>
      </c>
      <c r="P155" s="4">
        <v>13.76</v>
      </c>
      <c r="Q155" s="5">
        <f t="shared" si="6"/>
        <v>16.512</v>
      </c>
      <c r="R155" s="4">
        <v>17.2</v>
      </c>
      <c r="S155" s="5">
        <f t="shared" si="7"/>
        <v>20.639999999999997</v>
      </c>
      <c r="T155" s="4">
        <v>20.64</v>
      </c>
      <c r="U155" s="5">
        <f t="shared" si="8"/>
        <v>24.768000000000001</v>
      </c>
      <c r="V155" s="1" t="s">
        <v>31</v>
      </c>
    </row>
    <row r="156" spans="1:22" x14ac:dyDescent="0.2">
      <c r="A156" s="1">
        <v>2039878</v>
      </c>
      <c r="B156" s="1" t="s">
        <v>892</v>
      </c>
      <c r="C156" s="1" t="str">
        <f>"9788024607092"</f>
        <v>9788024607092</v>
      </c>
      <c r="D156" s="1" t="str">
        <f>"9788024627007"</f>
        <v>9788024627007</v>
      </c>
      <c r="E156" s="2" t="s">
        <v>893</v>
      </c>
      <c r="F156" s="2" t="s">
        <v>849</v>
      </c>
      <c r="G156" s="1" t="s">
        <v>24</v>
      </c>
      <c r="H156" s="1">
        <v>1</v>
      </c>
      <c r="J156" s="1" t="s">
        <v>894</v>
      </c>
      <c r="K156" s="1" t="s">
        <v>696</v>
      </c>
      <c r="L156" s="1" t="s">
        <v>895</v>
      </c>
      <c r="M156" s="1" t="s">
        <v>896</v>
      </c>
      <c r="N156" s="1" t="s">
        <v>897</v>
      </c>
      <c r="O156" s="1" t="s">
        <v>39</v>
      </c>
      <c r="P156" s="4">
        <v>19.27</v>
      </c>
      <c r="Q156" s="5">
        <f t="shared" si="6"/>
        <v>23.123999999999999</v>
      </c>
      <c r="R156" s="4">
        <v>24.08</v>
      </c>
      <c r="S156" s="5">
        <f t="shared" si="7"/>
        <v>28.895999999999997</v>
      </c>
      <c r="T156" s="4">
        <v>28.9</v>
      </c>
      <c r="U156" s="5">
        <f t="shared" si="8"/>
        <v>34.68</v>
      </c>
      <c r="V156" s="1" t="s">
        <v>31</v>
      </c>
    </row>
    <row r="157" spans="1:22" x14ac:dyDescent="0.2">
      <c r="A157" s="1">
        <v>2039897</v>
      </c>
      <c r="B157" s="1" t="s">
        <v>898</v>
      </c>
      <c r="C157" s="1" t="str">
        <f>"9788024606194"</f>
        <v>9788024606194</v>
      </c>
      <c r="D157" s="1" t="str">
        <f>"9788024627038"</f>
        <v>9788024627038</v>
      </c>
      <c r="E157" s="2" t="s">
        <v>899</v>
      </c>
      <c r="F157" s="2" t="s">
        <v>849</v>
      </c>
      <c r="G157" s="1" t="s">
        <v>24</v>
      </c>
      <c r="H157" s="1">
        <v>1</v>
      </c>
      <c r="J157" s="1" t="s">
        <v>900</v>
      </c>
      <c r="K157" s="1" t="s">
        <v>111</v>
      </c>
      <c r="L157" s="1" t="s">
        <v>901</v>
      </c>
      <c r="M157" s="1" t="s">
        <v>902</v>
      </c>
      <c r="N157" s="1" t="s">
        <v>903</v>
      </c>
      <c r="O157" s="1" t="s">
        <v>39</v>
      </c>
      <c r="P157" s="4">
        <v>13.76</v>
      </c>
      <c r="Q157" s="5">
        <f t="shared" si="6"/>
        <v>16.512</v>
      </c>
      <c r="R157" s="4">
        <v>17.2</v>
      </c>
      <c r="S157" s="5">
        <f t="shared" si="7"/>
        <v>20.639999999999997</v>
      </c>
      <c r="T157" s="4">
        <v>20.64</v>
      </c>
      <c r="U157" s="5">
        <f t="shared" si="8"/>
        <v>24.768000000000001</v>
      </c>
      <c r="V157" s="1" t="s">
        <v>31</v>
      </c>
    </row>
    <row r="158" spans="1:22" x14ac:dyDescent="0.2">
      <c r="A158" s="1">
        <v>2039900</v>
      </c>
      <c r="B158" s="1" t="s">
        <v>904</v>
      </c>
      <c r="C158" s="1" t="str">
        <f>"9788024620398"</f>
        <v>9788024620398</v>
      </c>
      <c r="D158" s="1" t="str">
        <f>"9788024627199"</f>
        <v>9788024627199</v>
      </c>
      <c r="E158" s="2" t="s">
        <v>905</v>
      </c>
      <c r="F158" s="2" t="s">
        <v>849</v>
      </c>
      <c r="G158" s="1" t="s">
        <v>24</v>
      </c>
      <c r="H158" s="1">
        <v>1</v>
      </c>
      <c r="J158" s="1" t="s">
        <v>906</v>
      </c>
      <c r="K158" s="1" t="s">
        <v>43</v>
      </c>
      <c r="L158" s="1" t="s">
        <v>907</v>
      </c>
      <c r="M158" s="1" t="s">
        <v>908</v>
      </c>
      <c r="N158" s="1" t="s">
        <v>909</v>
      </c>
      <c r="O158" s="1" t="s">
        <v>39</v>
      </c>
      <c r="P158" s="4">
        <v>13.76</v>
      </c>
      <c r="Q158" s="5">
        <f t="shared" si="6"/>
        <v>16.512</v>
      </c>
      <c r="R158" s="4">
        <v>17.2</v>
      </c>
      <c r="S158" s="5">
        <f t="shared" si="7"/>
        <v>20.639999999999997</v>
      </c>
      <c r="T158" s="4">
        <v>20.64</v>
      </c>
      <c r="U158" s="5">
        <f t="shared" si="8"/>
        <v>24.768000000000001</v>
      </c>
      <c r="V158" s="1" t="s">
        <v>31</v>
      </c>
    </row>
    <row r="159" spans="1:22" x14ac:dyDescent="0.2">
      <c r="A159" s="1">
        <v>2039901</v>
      </c>
      <c r="B159" s="1" t="s">
        <v>910</v>
      </c>
      <c r="C159" s="1" t="str">
        <f>"9788024621975"</f>
        <v>9788024621975</v>
      </c>
      <c r="D159" s="1" t="str">
        <f>"9788024627571"</f>
        <v>9788024627571</v>
      </c>
      <c r="E159" s="2" t="s">
        <v>575</v>
      </c>
      <c r="F159" s="2" t="s">
        <v>849</v>
      </c>
      <c r="G159" s="1" t="s">
        <v>24</v>
      </c>
      <c r="H159" s="1">
        <v>1</v>
      </c>
      <c r="J159" s="1" t="s">
        <v>911</v>
      </c>
      <c r="K159" s="1" t="s">
        <v>912</v>
      </c>
      <c r="L159" s="1" t="s">
        <v>913</v>
      </c>
      <c r="M159" s="1" t="s">
        <v>914</v>
      </c>
      <c r="N159" s="1" t="s">
        <v>915</v>
      </c>
      <c r="O159" s="1" t="s">
        <v>39</v>
      </c>
      <c r="P159" s="4">
        <v>17.43</v>
      </c>
      <c r="Q159" s="5">
        <f t="shared" si="6"/>
        <v>20.916</v>
      </c>
      <c r="R159" s="4">
        <v>21.79</v>
      </c>
      <c r="S159" s="5">
        <f t="shared" si="7"/>
        <v>26.148</v>
      </c>
      <c r="T159" s="4">
        <v>26.15</v>
      </c>
      <c r="U159" s="5">
        <f t="shared" si="8"/>
        <v>31.379999999999995</v>
      </c>
      <c r="V159" s="1" t="s">
        <v>31</v>
      </c>
    </row>
    <row r="160" spans="1:22" x14ac:dyDescent="0.2">
      <c r="A160" s="1">
        <v>2039902</v>
      </c>
      <c r="B160" s="1" t="s">
        <v>916</v>
      </c>
      <c r="C160" s="1" t="str">
        <f>"9788024623955"</f>
        <v>9788024623955</v>
      </c>
      <c r="D160" s="1" t="str">
        <f>"9788024627588"</f>
        <v>9788024627588</v>
      </c>
      <c r="E160" s="2" t="s">
        <v>223</v>
      </c>
      <c r="F160" s="2" t="s">
        <v>849</v>
      </c>
      <c r="G160" s="1" t="s">
        <v>24</v>
      </c>
      <c r="H160" s="1">
        <v>2</v>
      </c>
      <c r="J160" s="1" t="s">
        <v>917</v>
      </c>
      <c r="K160" s="1" t="s">
        <v>72</v>
      </c>
      <c r="L160" s="1" t="s">
        <v>918</v>
      </c>
      <c r="M160" s="1" t="s">
        <v>919</v>
      </c>
      <c r="N160" s="1" t="s">
        <v>920</v>
      </c>
      <c r="O160" s="1" t="s">
        <v>39</v>
      </c>
      <c r="P160" s="4">
        <v>18.350000000000001</v>
      </c>
      <c r="Q160" s="5">
        <f t="shared" si="6"/>
        <v>22.02</v>
      </c>
      <c r="R160" s="4">
        <v>22.94</v>
      </c>
      <c r="S160" s="5">
        <f t="shared" si="7"/>
        <v>27.528000000000002</v>
      </c>
      <c r="T160" s="4">
        <v>27.52</v>
      </c>
      <c r="U160" s="5">
        <f t="shared" si="8"/>
        <v>33.024000000000001</v>
      </c>
      <c r="V160" s="1" t="s">
        <v>31</v>
      </c>
    </row>
    <row r="161" spans="1:22" x14ac:dyDescent="0.2">
      <c r="A161" s="1">
        <v>2039903</v>
      </c>
      <c r="B161" s="1" t="s">
        <v>921</v>
      </c>
      <c r="C161" s="1" t="str">
        <f>"9788024626925"</f>
        <v>9788024626925</v>
      </c>
      <c r="D161" s="1" t="str">
        <f>"9788024628165"</f>
        <v>9788024628165</v>
      </c>
      <c r="E161" s="2" t="s">
        <v>91</v>
      </c>
      <c r="F161" s="2" t="s">
        <v>849</v>
      </c>
      <c r="G161" s="1" t="s">
        <v>24</v>
      </c>
      <c r="H161" s="1">
        <v>1</v>
      </c>
      <c r="J161" s="1" t="s">
        <v>922</v>
      </c>
      <c r="K161" s="1" t="s">
        <v>346</v>
      </c>
      <c r="L161" s="1" t="s">
        <v>923</v>
      </c>
      <c r="M161" s="1" t="s">
        <v>59</v>
      </c>
      <c r="N161" s="1" t="s">
        <v>924</v>
      </c>
      <c r="O161" s="1" t="s">
        <v>39</v>
      </c>
      <c r="P161" s="4">
        <v>13.76</v>
      </c>
      <c r="Q161" s="5">
        <f t="shared" si="6"/>
        <v>16.512</v>
      </c>
      <c r="R161" s="4">
        <v>17.2</v>
      </c>
      <c r="S161" s="5">
        <f t="shared" si="7"/>
        <v>20.639999999999997</v>
      </c>
      <c r="T161" s="4">
        <v>20.64</v>
      </c>
      <c r="U161" s="5">
        <f t="shared" si="8"/>
        <v>24.768000000000001</v>
      </c>
      <c r="V161" s="1" t="s">
        <v>31</v>
      </c>
    </row>
    <row r="162" spans="1:22" x14ac:dyDescent="0.2">
      <c r="A162" s="1">
        <v>2039904</v>
      </c>
      <c r="B162" s="1" t="s">
        <v>925</v>
      </c>
      <c r="C162" s="1" t="str">
        <f>"9788024614298"</f>
        <v>9788024614298</v>
      </c>
      <c r="D162" s="1" t="str">
        <f>"9788024628172"</f>
        <v>9788024628172</v>
      </c>
      <c r="E162" s="2" t="s">
        <v>926</v>
      </c>
      <c r="F162" s="2" t="s">
        <v>849</v>
      </c>
      <c r="G162" s="1" t="s">
        <v>24</v>
      </c>
      <c r="H162" s="1">
        <v>1</v>
      </c>
      <c r="J162" s="1" t="s">
        <v>927</v>
      </c>
      <c r="K162" s="1" t="s">
        <v>334</v>
      </c>
      <c r="L162" s="1" t="s">
        <v>928</v>
      </c>
      <c r="M162" s="1" t="s">
        <v>929</v>
      </c>
      <c r="N162" s="1" t="s">
        <v>930</v>
      </c>
      <c r="O162" s="1" t="s">
        <v>39</v>
      </c>
      <c r="P162" s="4">
        <v>18.350000000000001</v>
      </c>
      <c r="Q162" s="5">
        <f t="shared" si="6"/>
        <v>22.02</v>
      </c>
      <c r="R162" s="4">
        <v>22.94</v>
      </c>
      <c r="S162" s="5">
        <f t="shared" si="7"/>
        <v>27.528000000000002</v>
      </c>
      <c r="T162" s="4">
        <v>27.52</v>
      </c>
      <c r="U162" s="5">
        <f t="shared" si="8"/>
        <v>33.024000000000001</v>
      </c>
      <c r="V162" s="1" t="s">
        <v>31</v>
      </c>
    </row>
    <row r="163" spans="1:22" x14ac:dyDescent="0.2">
      <c r="A163" s="1">
        <v>2039906</v>
      </c>
      <c r="B163" s="1" t="s">
        <v>931</v>
      </c>
      <c r="C163" s="1" t="str">
        <f>"9788024620268"</f>
        <v>9788024620268</v>
      </c>
      <c r="D163" s="1" t="str">
        <f>"9788024628301"</f>
        <v>9788024628301</v>
      </c>
      <c r="E163" s="2" t="s">
        <v>62</v>
      </c>
      <c r="F163" s="2" t="s">
        <v>849</v>
      </c>
      <c r="G163" s="1" t="s">
        <v>24</v>
      </c>
      <c r="H163" s="1">
        <v>1</v>
      </c>
      <c r="J163" s="1" t="s">
        <v>932</v>
      </c>
      <c r="K163" s="1" t="s">
        <v>449</v>
      </c>
      <c r="L163" s="1" t="s">
        <v>933</v>
      </c>
      <c r="M163" s="1" t="s">
        <v>401</v>
      </c>
      <c r="N163" s="1" t="s">
        <v>934</v>
      </c>
      <c r="O163" s="1" t="s">
        <v>39</v>
      </c>
      <c r="P163" s="4">
        <v>13.76</v>
      </c>
      <c r="Q163" s="5">
        <f t="shared" si="6"/>
        <v>16.512</v>
      </c>
      <c r="R163" s="4">
        <v>17.2</v>
      </c>
      <c r="S163" s="5">
        <f t="shared" si="7"/>
        <v>20.639999999999997</v>
      </c>
      <c r="T163" s="4">
        <v>20.64</v>
      </c>
      <c r="U163" s="5">
        <f t="shared" si="8"/>
        <v>24.768000000000001</v>
      </c>
      <c r="V163" s="1" t="s">
        <v>31</v>
      </c>
    </row>
    <row r="164" spans="1:22" x14ac:dyDescent="0.2">
      <c r="A164" s="1">
        <v>2039907</v>
      </c>
      <c r="B164" s="1" t="s">
        <v>935</v>
      </c>
      <c r="C164" s="1" t="str">
        <f>"9788024625690"</f>
        <v>9788024625690</v>
      </c>
      <c r="D164" s="1" t="str">
        <f>"9788024628363"</f>
        <v>9788024628363</v>
      </c>
      <c r="E164" s="2" t="s">
        <v>855</v>
      </c>
      <c r="F164" s="2" t="s">
        <v>849</v>
      </c>
      <c r="G164" s="1" t="s">
        <v>24</v>
      </c>
      <c r="H164" s="1">
        <v>1</v>
      </c>
      <c r="J164" s="1" t="s">
        <v>936</v>
      </c>
      <c r="K164" s="1" t="s">
        <v>111</v>
      </c>
      <c r="L164" s="1" t="s">
        <v>937</v>
      </c>
      <c r="M164" s="1" t="s">
        <v>474</v>
      </c>
      <c r="N164" s="1" t="s">
        <v>938</v>
      </c>
      <c r="O164" s="1" t="s">
        <v>171</v>
      </c>
      <c r="P164" s="4">
        <v>15.6</v>
      </c>
      <c r="Q164" s="5">
        <f t="shared" si="6"/>
        <v>18.72</v>
      </c>
      <c r="R164" s="4">
        <v>19.5</v>
      </c>
      <c r="S164" s="5">
        <f t="shared" si="7"/>
        <v>23.4</v>
      </c>
      <c r="T164" s="4">
        <v>23.39</v>
      </c>
      <c r="U164" s="5">
        <f t="shared" si="8"/>
        <v>28.068000000000001</v>
      </c>
      <c r="V164" s="1" t="s">
        <v>31</v>
      </c>
    </row>
    <row r="165" spans="1:22" x14ac:dyDescent="0.2">
      <c r="A165" s="1">
        <v>2039908</v>
      </c>
      <c r="B165" s="1" t="s">
        <v>939</v>
      </c>
      <c r="C165" s="1" t="str">
        <f>"9788024621531"</f>
        <v>9788024621531</v>
      </c>
      <c r="D165" s="1" t="str">
        <f>"9788024628462"</f>
        <v>9788024628462</v>
      </c>
      <c r="E165" s="2" t="s">
        <v>653</v>
      </c>
      <c r="F165" s="2" t="s">
        <v>849</v>
      </c>
      <c r="G165" s="1" t="s">
        <v>24</v>
      </c>
      <c r="H165" s="1">
        <v>1</v>
      </c>
      <c r="J165" s="1" t="s">
        <v>940</v>
      </c>
      <c r="K165" s="1" t="s">
        <v>26</v>
      </c>
      <c r="L165" s="1" t="s">
        <v>941</v>
      </c>
      <c r="M165" s="1">
        <v>155</v>
      </c>
      <c r="N165" s="1" t="s">
        <v>942</v>
      </c>
      <c r="O165" s="1" t="s">
        <v>39</v>
      </c>
      <c r="P165" s="4">
        <v>14.68</v>
      </c>
      <c r="Q165" s="5">
        <f t="shared" si="6"/>
        <v>17.616</v>
      </c>
      <c r="R165" s="4">
        <v>18.350000000000001</v>
      </c>
      <c r="S165" s="5">
        <f t="shared" si="7"/>
        <v>22.02</v>
      </c>
      <c r="T165" s="4">
        <v>22.02</v>
      </c>
      <c r="U165" s="5">
        <f t="shared" si="8"/>
        <v>26.423999999999999</v>
      </c>
      <c r="V165" s="1" t="s">
        <v>31</v>
      </c>
    </row>
    <row r="166" spans="1:22" x14ac:dyDescent="0.2">
      <c r="A166" s="1">
        <v>2039909</v>
      </c>
      <c r="B166" s="1" t="s">
        <v>943</v>
      </c>
      <c r="C166" s="1" t="str">
        <f>"9788024619644"</f>
        <v>9788024619644</v>
      </c>
      <c r="D166" s="1" t="str">
        <f>"9788024628646"</f>
        <v>9788024628646</v>
      </c>
      <c r="E166" s="2" t="s">
        <v>944</v>
      </c>
      <c r="F166" s="2" t="s">
        <v>849</v>
      </c>
      <c r="G166" s="1" t="s">
        <v>24</v>
      </c>
      <c r="H166" s="1">
        <v>1</v>
      </c>
      <c r="J166" s="1" t="s">
        <v>945</v>
      </c>
      <c r="K166" s="1" t="s">
        <v>946</v>
      </c>
      <c r="L166" s="1" t="s">
        <v>947</v>
      </c>
      <c r="M166" s="1" t="s">
        <v>948</v>
      </c>
      <c r="N166" s="1" t="s">
        <v>949</v>
      </c>
      <c r="O166" s="1" t="s">
        <v>39</v>
      </c>
      <c r="P166" s="4">
        <v>13.76</v>
      </c>
      <c r="Q166" s="5">
        <f t="shared" si="6"/>
        <v>16.512</v>
      </c>
      <c r="R166" s="4">
        <v>17.2</v>
      </c>
      <c r="S166" s="5">
        <f t="shared" si="7"/>
        <v>20.639999999999997</v>
      </c>
      <c r="T166" s="4">
        <v>20.64</v>
      </c>
      <c r="U166" s="5">
        <f t="shared" si="8"/>
        <v>24.768000000000001</v>
      </c>
      <c r="V166" s="1" t="s">
        <v>31</v>
      </c>
    </row>
    <row r="167" spans="1:22" x14ac:dyDescent="0.2">
      <c r="A167" s="1">
        <v>2039910</v>
      </c>
      <c r="B167" s="1" t="s">
        <v>950</v>
      </c>
      <c r="C167" s="1" t="str">
        <f>"9788024619620"</f>
        <v>9788024619620</v>
      </c>
      <c r="D167" s="1" t="str">
        <f>"9788024628653"</f>
        <v>9788024628653</v>
      </c>
      <c r="E167" s="2" t="s">
        <v>944</v>
      </c>
      <c r="F167" s="2" t="s">
        <v>849</v>
      </c>
      <c r="G167" s="1" t="s">
        <v>24</v>
      </c>
      <c r="H167" s="1">
        <v>1</v>
      </c>
      <c r="J167" s="1" t="s">
        <v>951</v>
      </c>
      <c r="K167" s="1" t="s">
        <v>124</v>
      </c>
      <c r="L167" s="1" t="s">
        <v>952</v>
      </c>
      <c r="M167" s="1" t="s">
        <v>953</v>
      </c>
      <c r="N167" s="1" t="s">
        <v>954</v>
      </c>
      <c r="O167" s="1" t="s">
        <v>39</v>
      </c>
      <c r="P167" s="4">
        <v>13.76</v>
      </c>
      <c r="Q167" s="5">
        <f t="shared" si="6"/>
        <v>16.512</v>
      </c>
      <c r="R167" s="4">
        <v>17.2</v>
      </c>
      <c r="S167" s="5">
        <f t="shared" si="7"/>
        <v>20.639999999999997</v>
      </c>
      <c r="T167" s="4">
        <v>20.64</v>
      </c>
      <c r="U167" s="5">
        <f t="shared" si="8"/>
        <v>24.768000000000001</v>
      </c>
      <c r="V167" s="1" t="s">
        <v>31</v>
      </c>
    </row>
    <row r="168" spans="1:22" x14ac:dyDescent="0.2">
      <c r="A168" s="1">
        <v>2039911</v>
      </c>
      <c r="B168" s="1" t="s">
        <v>955</v>
      </c>
      <c r="C168" s="1" t="str">
        <f>"9788024619835"</f>
        <v>9788024619835</v>
      </c>
      <c r="D168" s="1" t="str">
        <f>"9788024628660"</f>
        <v>9788024628660</v>
      </c>
      <c r="E168" s="2" t="s">
        <v>956</v>
      </c>
      <c r="F168" s="2" t="s">
        <v>849</v>
      </c>
      <c r="G168" s="1" t="s">
        <v>24</v>
      </c>
      <c r="H168" s="1">
        <v>1</v>
      </c>
      <c r="J168" s="1" t="s">
        <v>957</v>
      </c>
      <c r="K168" s="1" t="s">
        <v>26</v>
      </c>
      <c r="L168" s="1" t="s">
        <v>958</v>
      </c>
      <c r="M168" s="1" t="s">
        <v>959</v>
      </c>
      <c r="N168" s="1" t="s">
        <v>960</v>
      </c>
      <c r="O168" s="1" t="s">
        <v>39</v>
      </c>
      <c r="P168" s="4">
        <v>17.43</v>
      </c>
      <c r="Q168" s="5">
        <f t="shared" si="6"/>
        <v>20.916</v>
      </c>
      <c r="R168" s="4">
        <v>21.79</v>
      </c>
      <c r="S168" s="5">
        <f t="shared" si="7"/>
        <v>26.148</v>
      </c>
      <c r="T168" s="4">
        <v>26.15</v>
      </c>
      <c r="U168" s="5">
        <f t="shared" si="8"/>
        <v>31.379999999999995</v>
      </c>
      <c r="V168" s="1" t="s">
        <v>31</v>
      </c>
    </row>
    <row r="169" spans="1:22" x14ac:dyDescent="0.2">
      <c r="A169" s="1">
        <v>2039912</v>
      </c>
      <c r="B169" s="1" t="s">
        <v>961</v>
      </c>
      <c r="C169" s="1" t="str">
        <f>"9788024620824"</f>
        <v>9788024620824</v>
      </c>
      <c r="D169" s="1" t="str">
        <f>"9788024628691"</f>
        <v>9788024628691</v>
      </c>
      <c r="E169" s="2" t="s">
        <v>404</v>
      </c>
      <c r="F169" s="2" t="s">
        <v>849</v>
      </c>
      <c r="G169" s="1" t="s">
        <v>24</v>
      </c>
      <c r="H169" s="1">
        <v>1</v>
      </c>
      <c r="J169" s="1" t="s">
        <v>962</v>
      </c>
      <c r="K169" s="1" t="s">
        <v>124</v>
      </c>
      <c r="L169" s="1" t="s">
        <v>963</v>
      </c>
      <c r="M169" s="1">
        <v>616</v>
      </c>
      <c r="N169" s="1" t="s">
        <v>964</v>
      </c>
      <c r="O169" s="1" t="s">
        <v>39</v>
      </c>
      <c r="P169" s="4">
        <v>13.76</v>
      </c>
      <c r="Q169" s="5">
        <f t="shared" si="6"/>
        <v>16.512</v>
      </c>
      <c r="R169" s="4">
        <v>17.2</v>
      </c>
      <c r="S169" s="5">
        <f t="shared" si="7"/>
        <v>20.639999999999997</v>
      </c>
      <c r="T169" s="4">
        <v>20.64</v>
      </c>
      <c r="U169" s="5">
        <f t="shared" si="8"/>
        <v>24.768000000000001</v>
      </c>
      <c r="V169" s="1" t="s">
        <v>31</v>
      </c>
    </row>
    <row r="170" spans="1:22" x14ac:dyDescent="0.2">
      <c r="A170" s="1">
        <v>2039913</v>
      </c>
      <c r="B170" s="1" t="s">
        <v>965</v>
      </c>
      <c r="C170" s="1" t="str">
        <f>"9788024628783"</f>
        <v>9788024628783</v>
      </c>
      <c r="D170" s="1" t="str">
        <f>"9788024628868"</f>
        <v>9788024628868</v>
      </c>
      <c r="E170" s="2" t="s">
        <v>855</v>
      </c>
      <c r="F170" s="2" t="s">
        <v>849</v>
      </c>
      <c r="G170" s="1" t="s">
        <v>24</v>
      </c>
      <c r="H170" s="1">
        <v>1</v>
      </c>
      <c r="I170" s="1" t="s">
        <v>568</v>
      </c>
      <c r="J170" s="1" t="s">
        <v>966</v>
      </c>
      <c r="K170" s="1" t="s">
        <v>64</v>
      </c>
      <c r="L170" s="1" t="s">
        <v>967</v>
      </c>
      <c r="M170" s="1" t="s">
        <v>722</v>
      </c>
      <c r="N170" s="1" t="s">
        <v>968</v>
      </c>
      <c r="O170" s="1" t="s">
        <v>39</v>
      </c>
      <c r="P170" s="4">
        <v>13.76</v>
      </c>
      <c r="Q170" s="5">
        <f t="shared" si="6"/>
        <v>16.512</v>
      </c>
      <c r="R170" s="4">
        <v>17.2</v>
      </c>
      <c r="S170" s="5">
        <f t="shared" si="7"/>
        <v>20.639999999999997</v>
      </c>
      <c r="T170" s="4">
        <v>20.64</v>
      </c>
      <c r="U170" s="5">
        <f t="shared" si="8"/>
        <v>24.768000000000001</v>
      </c>
      <c r="V170" s="1" t="s">
        <v>31</v>
      </c>
    </row>
    <row r="171" spans="1:22" x14ac:dyDescent="0.2">
      <c r="A171" s="1">
        <v>2044631</v>
      </c>
      <c r="B171" s="1" t="s">
        <v>969</v>
      </c>
      <c r="C171" s="1" t="str">
        <f>"9788024623818"</f>
        <v>9788024623818</v>
      </c>
      <c r="D171" s="1" t="str">
        <f>"9788024623887"</f>
        <v>9788024623887</v>
      </c>
      <c r="E171" s="2" t="s">
        <v>166</v>
      </c>
      <c r="F171" s="2" t="s">
        <v>970</v>
      </c>
      <c r="G171" s="1" t="s">
        <v>24</v>
      </c>
      <c r="H171" s="1">
        <v>1</v>
      </c>
      <c r="J171" s="1" t="s">
        <v>971</v>
      </c>
      <c r="K171" s="1" t="s">
        <v>277</v>
      </c>
      <c r="L171" s="1" t="s">
        <v>972</v>
      </c>
      <c r="M171" s="1" t="s">
        <v>973</v>
      </c>
      <c r="N171" s="1" t="s">
        <v>974</v>
      </c>
      <c r="O171" s="1" t="s">
        <v>39</v>
      </c>
      <c r="P171" s="4">
        <v>13.76</v>
      </c>
      <c r="Q171" s="5">
        <f t="shared" si="6"/>
        <v>16.512</v>
      </c>
      <c r="R171" s="4">
        <v>17.2</v>
      </c>
      <c r="S171" s="5">
        <f t="shared" si="7"/>
        <v>20.639999999999997</v>
      </c>
      <c r="T171" s="4">
        <v>20.64</v>
      </c>
      <c r="U171" s="5">
        <f t="shared" si="8"/>
        <v>24.768000000000001</v>
      </c>
      <c r="V171" s="1" t="s">
        <v>31</v>
      </c>
    </row>
    <row r="172" spans="1:22" x14ac:dyDescent="0.2">
      <c r="A172" s="1">
        <v>2044633</v>
      </c>
      <c r="B172" s="1" t="s">
        <v>975</v>
      </c>
      <c r="C172" s="1" t="str">
        <f>"9788024620459"</f>
        <v>9788024620459</v>
      </c>
      <c r="D172" s="1" t="str">
        <f>"9788024624679"</f>
        <v>9788024624679</v>
      </c>
      <c r="E172" s="2" t="s">
        <v>653</v>
      </c>
      <c r="F172" s="2" t="s">
        <v>970</v>
      </c>
      <c r="G172" s="1" t="s">
        <v>24</v>
      </c>
      <c r="H172" s="1">
        <v>1</v>
      </c>
      <c r="J172" s="1" t="s">
        <v>976</v>
      </c>
      <c r="K172" s="1" t="s">
        <v>242</v>
      </c>
      <c r="L172" s="1" t="s">
        <v>977</v>
      </c>
      <c r="M172" s="1" t="s">
        <v>978</v>
      </c>
      <c r="N172" s="1" t="s">
        <v>979</v>
      </c>
      <c r="O172" s="1" t="s">
        <v>30</v>
      </c>
      <c r="P172" s="4">
        <v>15.6</v>
      </c>
      <c r="Q172" s="5">
        <f t="shared" si="6"/>
        <v>18.72</v>
      </c>
      <c r="R172" s="4">
        <v>19.5</v>
      </c>
      <c r="S172" s="5">
        <f t="shared" si="7"/>
        <v>23.4</v>
      </c>
      <c r="T172" s="4">
        <v>23.39</v>
      </c>
      <c r="U172" s="5">
        <f t="shared" si="8"/>
        <v>28.068000000000001</v>
      </c>
      <c r="V172" s="1" t="s">
        <v>31</v>
      </c>
    </row>
    <row r="173" spans="1:22" x14ac:dyDescent="0.2">
      <c r="A173" s="1">
        <v>2044634</v>
      </c>
      <c r="B173" s="1" t="s">
        <v>980</v>
      </c>
      <c r="C173" s="1" t="str">
        <f>"9788024625591"</f>
        <v>9788024625591</v>
      </c>
      <c r="D173" s="1" t="str">
        <f>"9788024625942"</f>
        <v>9788024625942</v>
      </c>
      <c r="E173" s="2" t="s">
        <v>981</v>
      </c>
      <c r="F173" s="2" t="s">
        <v>970</v>
      </c>
      <c r="G173" s="1" t="s">
        <v>24</v>
      </c>
      <c r="H173" s="1">
        <v>1</v>
      </c>
      <c r="J173" s="1" t="s">
        <v>982</v>
      </c>
      <c r="K173" s="1" t="s">
        <v>150</v>
      </c>
      <c r="L173" s="1" t="s">
        <v>983</v>
      </c>
      <c r="M173" s="1" t="s">
        <v>984</v>
      </c>
      <c r="N173" s="1" t="s">
        <v>985</v>
      </c>
      <c r="O173" s="1" t="s">
        <v>39</v>
      </c>
      <c r="P173" s="4">
        <v>13.76</v>
      </c>
      <c r="Q173" s="5">
        <f t="shared" si="6"/>
        <v>16.512</v>
      </c>
      <c r="R173" s="4">
        <v>17.2</v>
      </c>
      <c r="S173" s="5">
        <f t="shared" si="7"/>
        <v>20.639999999999997</v>
      </c>
      <c r="T173" s="4">
        <v>20.64</v>
      </c>
      <c r="U173" s="5">
        <f t="shared" si="8"/>
        <v>24.768000000000001</v>
      </c>
      <c r="V173" s="1" t="s">
        <v>31</v>
      </c>
    </row>
    <row r="174" spans="1:22" x14ac:dyDescent="0.2">
      <c r="A174" s="1">
        <v>2044637</v>
      </c>
      <c r="B174" s="1" t="s">
        <v>986</v>
      </c>
      <c r="C174" s="1" t="str">
        <f>"9788024627885"</f>
        <v>9788024627885</v>
      </c>
      <c r="D174" s="1" t="str">
        <f>"9788024628059"</f>
        <v>9788024628059</v>
      </c>
      <c r="E174" s="2" t="s">
        <v>122</v>
      </c>
      <c r="F174" s="2" t="s">
        <v>970</v>
      </c>
      <c r="G174" s="1" t="s">
        <v>24</v>
      </c>
      <c r="H174" s="1">
        <v>1</v>
      </c>
      <c r="J174" s="1" t="s">
        <v>987</v>
      </c>
      <c r="K174" s="1" t="s">
        <v>988</v>
      </c>
      <c r="L174" s="1" t="s">
        <v>989</v>
      </c>
      <c r="M174" s="1" t="s">
        <v>990</v>
      </c>
      <c r="N174" s="1" t="s">
        <v>991</v>
      </c>
      <c r="O174" s="1" t="s">
        <v>39</v>
      </c>
      <c r="P174" s="4">
        <v>13.76</v>
      </c>
      <c r="Q174" s="5">
        <f t="shared" si="6"/>
        <v>16.512</v>
      </c>
      <c r="R174" s="4">
        <v>17.2</v>
      </c>
      <c r="S174" s="5">
        <f t="shared" si="7"/>
        <v>20.639999999999997</v>
      </c>
      <c r="T174" s="4">
        <v>20.64</v>
      </c>
      <c r="U174" s="5">
        <f t="shared" si="8"/>
        <v>24.768000000000001</v>
      </c>
      <c r="V174" s="1" t="s">
        <v>31</v>
      </c>
    </row>
    <row r="175" spans="1:22" x14ac:dyDescent="0.2">
      <c r="A175" s="1">
        <v>2044638</v>
      </c>
      <c r="B175" s="1" t="s">
        <v>992</v>
      </c>
      <c r="C175" s="1" t="str">
        <f>"9788024626239"</f>
        <v>9788024626239</v>
      </c>
      <c r="D175" s="1" t="str">
        <f>"9788024628264"</f>
        <v>9788024628264</v>
      </c>
      <c r="E175" s="2" t="s">
        <v>855</v>
      </c>
      <c r="F175" s="2" t="s">
        <v>970</v>
      </c>
      <c r="G175" s="1" t="s">
        <v>24</v>
      </c>
      <c r="H175" s="1">
        <v>1</v>
      </c>
      <c r="J175" s="1" t="s">
        <v>993</v>
      </c>
      <c r="K175" s="1" t="s">
        <v>79</v>
      </c>
      <c r="L175" s="1" t="s">
        <v>994</v>
      </c>
      <c r="M175" s="1">
        <v>400</v>
      </c>
      <c r="N175" s="1" t="s">
        <v>995</v>
      </c>
      <c r="O175" s="1" t="s">
        <v>39</v>
      </c>
      <c r="P175" s="4">
        <v>14.68</v>
      </c>
      <c r="Q175" s="5">
        <f t="shared" si="6"/>
        <v>17.616</v>
      </c>
      <c r="R175" s="4">
        <v>18.350000000000001</v>
      </c>
      <c r="S175" s="5">
        <f t="shared" si="7"/>
        <v>22.02</v>
      </c>
      <c r="T175" s="4">
        <v>22.02</v>
      </c>
      <c r="U175" s="5">
        <f t="shared" si="8"/>
        <v>26.423999999999999</v>
      </c>
      <c r="V175" s="1" t="s">
        <v>31</v>
      </c>
    </row>
    <row r="176" spans="1:22" x14ac:dyDescent="0.2">
      <c r="A176" s="1">
        <v>2044640</v>
      </c>
      <c r="B176" s="1" t="s">
        <v>996</v>
      </c>
      <c r="C176" s="1" t="str">
        <f>"9788024628608"</f>
        <v>9788024628608</v>
      </c>
      <c r="D176" s="1" t="str">
        <f>"9788024629162"</f>
        <v>9788024629162</v>
      </c>
      <c r="E176" s="2" t="s">
        <v>981</v>
      </c>
      <c r="F176" s="2" t="s">
        <v>970</v>
      </c>
      <c r="G176" s="1" t="s">
        <v>24</v>
      </c>
      <c r="H176" s="1">
        <v>1</v>
      </c>
      <c r="J176" s="1" t="s">
        <v>49</v>
      </c>
      <c r="K176" s="1" t="s">
        <v>277</v>
      </c>
      <c r="L176" s="1" t="s">
        <v>997</v>
      </c>
      <c r="M176" s="1" t="s">
        <v>998</v>
      </c>
      <c r="N176" s="1" t="s">
        <v>999</v>
      </c>
      <c r="O176" s="1" t="s">
        <v>30</v>
      </c>
      <c r="P176" s="4">
        <v>18.350000000000001</v>
      </c>
      <c r="Q176" s="5">
        <f t="shared" si="6"/>
        <v>22.02</v>
      </c>
      <c r="R176" s="4">
        <v>22.94</v>
      </c>
      <c r="S176" s="5">
        <f t="shared" si="7"/>
        <v>27.528000000000002</v>
      </c>
      <c r="T176" s="4">
        <v>27.52</v>
      </c>
      <c r="U176" s="5">
        <f t="shared" si="8"/>
        <v>33.024000000000001</v>
      </c>
      <c r="V176" s="1" t="s">
        <v>31</v>
      </c>
    </row>
    <row r="177" spans="1:22" x14ac:dyDescent="0.2">
      <c r="A177" s="1">
        <v>2044641</v>
      </c>
      <c r="B177" s="1" t="s">
        <v>1000</v>
      </c>
      <c r="C177" s="1" t="str">
        <f>"9788024629261"</f>
        <v>9788024629261</v>
      </c>
      <c r="D177" s="1" t="str">
        <f>"9788024629278"</f>
        <v>9788024629278</v>
      </c>
      <c r="E177" s="2" t="s">
        <v>868</v>
      </c>
      <c r="F177" s="2" t="s">
        <v>970</v>
      </c>
      <c r="G177" s="1" t="s">
        <v>24</v>
      </c>
      <c r="H177" s="1">
        <v>2</v>
      </c>
      <c r="J177" s="1" t="s">
        <v>1001</v>
      </c>
      <c r="K177" s="1" t="s">
        <v>138</v>
      </c>
      <c r="L177" s="1" t="s">
        <v>1002</v>
      </c>
      <c r="M177" s="1">
        <v>900</v>
      </c>
      <c r="N177" s="1" t="s">
        <v>1003</v>
      </c>
      <c r="O177" s="1" t="s">
        <v>39</v>
      </c>
      <c r="P177" s="4">
        <v>14.68</v>
      </c>
      <c r="Q177" s="5">
        <f t="shared" si="6"/>
        <v>17.616</v>
      </c>
      <c r="R177" s="4">
        <v>18.350000000000001</v>
      </c>
      <c r="S177" s="5">
        <f t="shared" si="7"/>
        <v>22.02</v>
      </c>
      <c r="T177" s="4">
        <v>22.02</v>
      </c>
      <c r="U177" s="5">
        <f t="shared" si="8"/>
        <v>26.423999999999999</v>
      </c>
      <c r="V177" s="1" t="s">
        <v>31</v>
      </c>
    </row>
    <row r="178" spans="1:22" x14ac:dyDescent="0.2">
      <c r="A178" s="1">
        <v>2044642</v>
      </c>
      <c r="B178" s="1" t="s">
        <v>1004</v>
      </c>
      <c r="C178" s="1" t="str">
        <f>"9788024629384"</f>
        <v>9788024629384</v>
      </c>
      <c r="D178" s="1" t="str">
        <f>"9788024629506"</f>
        <v>9788024629506</v>
      </c>
      <c r="E178" s="2" t="s">
        <v>1005</v>
      </c>
      <c r="F178" s="2" t="s">
        <v>970</v>
      </c>
      <c r="G178" s="1" t="s">
        <v>24</v>
      </c>
      <c r="H178" s="1">
        <v>1</v>
      </c>
      <c r="J178" s="1" t="s">
        <v>1006</v>
      </c>
      <c r="K178" s="1" t="s">
        <v>587</v>
      </c>
      <c r="L178" s="1" t="s">
        <v>1007</v>
      </c>
      <c r="M178" s="1" t="s">
        <v>1008</v>
      </c>
      <c r="N178" s="1" t="s">
        <v>1009</v>
      </c>
      <c r="O178" s="1" t="s">
        <v>39</v>
      </c>
      <c r="P178" s="4">
        <v>13.76</v>
      </c>
      <c r="Q178" s="5">
        <f t="shared" si="6"/>
        <v>16.512</v>
      </c>
      <c r="R178" s="4">
        <v>17.2</v>
      </c>
      <c r="S178" s="5">
        <f t="shared" si="7"/>
        <v>20.639999999999997</v>
      </c>
      <c r="T178" s="4">
        <v>20.64</v>
      </c>
      <c r="U178" s="5">
        <f t="shared" si="8"/>
        <v>24.768000000000001</v>
      </c>
      <c r="V178" s="1" t="s">
        <v>31</v>
      </c>
    </row>
    <row r="179" spans="1:22" x14ac:dyDescent="0.2">
      <c r="A179" s="1">
        <v>2044645</v>
      </c>
      <c r="B179" s="1" t="s">
        <v>1010</v>
      </c>
      <c r="C179" s="1" t="str">
        <f>"9788024628929"</f>
        <v>9788024628929</v>
      </c>
      <c r="D179" s="1" t="str">
        <f>"9788024629698"</f>
        <v>9788024629698</v>
      </c>
      <c r="E179" s="2" t="s">
        <v>981</v>
      </c>
      <c r="F179" s="2" t="s">
        <v>970</v>
      </c>
      <c r="G179" s="1" t="s">
        <v>24</v>
      </c>
      <c r="H179" s="1">
        <v>1</v>
      </c>
      <c r="J179" s="1" t="s">
        <v>1011</v>
      </c>
      <c r="K179" s="1" t="s">
        <v>124</v>
      </c>
      <c r="L179" s="1" t="s">
        <v>1012</v>
      </c>
      <c r="M179" s="1">
        <v>616</v>
      </c>
      <c r="N179" s="1" t="s">
        <v>1013</v>
      </c>
      <c r="O179" s="1" t="s">
        <v>30</v>
      </c>
      <c r="P179" s="4">
        <v>13.76</v>
      </c>
      <c r="Q179" s="5">
        <f t="shared" si="6"/>
        <v>16.512</v>
      </c>
      <c r="R179" s="4">
        <v>17.2</v>
      </c>
      <c r="S179" s="5">
        <f t="shared" si="7"/>
        <v>20.639999999999997</v>
      </c>
      <c r="T179" s="4">
        <v>20.64</v>
      </c>
      <c r="U179" s="5">
        <f t="shared" si="8"/>
        <v>24.768000000000001</v>
      </c>
      <c r="V179" s="1" t="s">
        <v>31</v>
      </c>
    </row>
    <row r="180" spans="1:22" x14ac:dyDescent="0.2">
      <c r="A180" s="1">
        <v>2044648</v>
      </c>
      <c r="B180" s="1" t="s">
        <v>1014</v>
      </c>
      <c r="C180" s="1" t="str">
        <f>"9788024630069"</f>
        <v>9788024630069</v>
      </c>
      <c r="D180" s="1" t="str">
        <f>"9788024630144"</f>
        <v>9788024630144</v>
      </c>
      <c r="E180" s="2" t="s">
        <v>1005</v>
      </c>
      <c r="F180" s="2" t="s">
        <v>970</v>
      </c>
      <c r="G180" s="1" t="s">
        <v>24</v>
      </c>
      <c r="H180" s="1">
        <v>1</v>
      </c>
      <c r="J180" s="1" t="s">
        <v>1015</v>
      </c>
      <c r="K180" s="1" t="s">
        <v>72</v>
      </c>
      <c r="L180" s="1" t="s">
        <v>1016</v>
      </c>
      <c r="M180" s="1" t="s">
        <v>1017</v>
      </c>
      <c r="N180" s="1" t="s">
        <v>1018</v>
      </c>
      <c r="O180" s="1" t="s">
        <v>30</v>
      </c>
      <c r="P180" s="4">
        <v>13.76</v>
      </c>
      <c r="Q180" s="5">
        <f t="shared" si="6"/>
        <v>16.512</v>
      </c>
      <c r="R180" s="4">
        <v>17.2</v>
      </c>
      <c r="S180" s="5">
        <f t="shared" si="7"/>
        <v>20.639999999999997</v>
      </c>
      <c r="T180" s="4">
        <v>20.64</v>
      </c>
      <c r="U180" s="5">
        <f t="shared" si="8"/>
        <v>24.768000000000001</v>
      </c>
      <c r="V180" s="1" t="s">
        <v>31</v>
      </c>
    </row>
    <row r="181" spans="1:22" x14ac:dyDescent="0.2">
      <c r="A181" s="1">
        <v>2057506</v>
      </c>
      <c r="B181" s="1" t="s">
        <v>1019</v>
      </c>
      <c r="C181" s="1" t="str">
        <f>"9788024623795"</f>
        <v>9788024623795</v>
      </c>
      <c r="D181" s="1" t="str">
        <f>"9788024623894"</f>
        <v>9788024623894</v>
      </c>
      <c r="E181" s="2" t="s">
        <v>166</v>
      </c>
      <c r="F181" s="2" t="s">
        <v>1020</v>
      </c>
      <c r="G181" s="1" t="s">
        <v>24</v>
      </c>
      <c r="H181" s="1">
        <v>1</v>
      </c>
      <c r="J181" s="1" t="s">
        <v>1021</v>
      </c>
      <c r="K181" s="1" t="s">
        <v>341</v>
      </c>
      <c r="L181" s="1" t="s">
        <v>1022</v>
      </c>
      <c r="M181" s="1">
        <v>192</v>
      </c>
      <c r="N181" s="1" t="s">
        <v>1023</v>
      </c>
      <c r="O181" s="1" t="s">
        <v>30</v>
      </c>
      <c r="P181" s="4">
        <v>13.76</v>
      </c>
      <c r="Q181" s="5">
        <f t="shared" si="6"/>
        <v>16.512</v>
      </c>
      <c r="R181" s="4">
        <v>17.2</v>
      </c>
      <c r="S181" s="5">
        <f t="shared" si="7"/>
        <v>20.639999999999997</v>
      </c>
      <c r="T181" s="4">
        <v>20.64</v>
      </c>
      <c r="U181" s="5">
        <f t="shared" si="8"/>
        <v>24.768000000000001</v>
      </c>
      <c r="V181" s="1" t="s">
        <v>31</v>
      </c>
    </row>
    <row r="182" spans="1:22" x14ac:dyDescent="0.2">
      <c r="A182" s="1">
        <v>2057508</v>
      </c>
      <c r="B182" s="1" t="s">
        <v>1024</v>
      </c>
      <c r="C182" s="1" t="str">
        <f>"9788024624204"</f>
        <v>9788024624204</v>
      </c>
      <c r="D182" s="1" t="str">
        <f>"9788024624426"</f>
        <v>9788024624426</v>
      </c>
      <c r="E182" s="2" t="s">
        <v>421</v>
      </c>
      <c r="F182" s="2" t="s">
        <v>1020</v>
      </c>
      <c r="G182" s="1" t="s">
        <v>24</v>
      </c>
      <c r="H182" s="1">
        <v>1</v>
      </c>
      <c r="J182" s="1" t="s">
        <v>1025</v>
      </c>
      <c r="K182" s="1" t="s">
        <v>50</v>
      </c>
      <c r="L182" s="1" t="s">
        <v>1026</v>
      </c>
      <c r="M182" s="1" t="s">
        <v>1027</v>
      </c>
      <c r="N182" s="1" t="s">
        <v>1028</v>
      </c>
      <c r="O182" s="1" t="s">
        <v>30</v>
      </c>
      <c r="P182" s="4">
        <v>13.76</v>
      </c>
      <c r="Q182" s="5">
        <f t="shared" si="6"/>
        <v>16.512</v>
      </c>
      <c r="R182" s="4">
        <v>17.2</v>
      </c>
      <c r="S182" s="5">
        <f t="shared" si="7"/>
        <v>20.639999999999997</v>
      </c>
      <c r="T182" s="4">
        <v>20.64</v>
      </c>
      <c r="U182" s="5">
        <f t="shared" si="8"/>
        <v>24.768000000000001</v>
      </c>
      <c r="V182" s="1" t="s">
        <v>31</v>
      </c>
    </row>
    <row r="183" spans="1:22" x14ac:dyDescent="0.2">
      <c r="A183" s="1">
        <v>2057510</v>
      </c>
      <c r="B183" s="1" t="s">
        <v>1029</v>
      </c>
      <c r="C183" s="1" t="str">
        <f>"9788024624457"</f>
        <v>9788024624457</v>
      </c>
      <c r="D183" s="1" t="str">
        <f>"9788024624693"</f>
        <v>9788024624693</v>
      </c>
      <c r="E183" s="2" t="s">
        <v>22</v>
      </c>
      <c r="F183" s="2" t="s">
        <v>1020</v>
      </c>
      <c r="G183" s="1" t="s">
        <v>24</v>
      </c>
      <c r="H183" s="1">
        <v>1</v>
      </c>
      <c r="J183" s="1" t="s">
        <v>294</v>
      </c>
      <c r="K183" s="1" t="s">
        <v>79</v>
      </c>
      <c r="L183" s="1" t="s">
        <v>1030</v>
      </c>
      <c r="M183" s="1" t="s">
        <v>1031</v>
      </c>
      <c r="N183" s="1" t="s">
        <v>1032</v>
      </c>
      <c r="O183" s="1" t="s">
        <v>39</v>
      </c>
      <c r="P183" s="4">
        <v>13.76</v>
      </c>
      <c r="Q183" s="5">
        <f t="shared" si="6"/>
        <v>16.512</v>
      </c>
      <c r="R183" s="4">
        <v>17.2</v>
      </c>
      <c r="S183" s="5">
        <f t="shared" si="7"/>
        <v>20.639999999999997</v>
      </c>
      <c r="T183" s="4">
        <v>20.64</v>
      </c>
      <c r="U183" s="5">
        <f t="shared" si="8"/>
        <v>24.768000000000001</v>
      </c>
      <c r="V183" s="1" t="s">
        <v>31</v>
      </c>
    </row>
    <row r="184" spans="1:22" x14ac:dyDescent="0.2">
      <c r="A184" s="1">
        <v>2057512</v>
      </c>
      <c r="B184" s="1" t="s">
        <v>1033</v>
      </c>
      <c r="C184" s="1" t="str">
        <f>"9788024622156"</f>
        <v>9788024622156</v>
      </c>
      <c r="D184" s="1" t="str">
        <f>"9788024625881"</f>
        <v>9788024625881</v>
      </c>
      <c r="E184" s="2" t="s">
        <v>981</v>
      </c>
      <c r="F184" s="2" t="s">
        <v>1034</v>
      </c>
      <c r="G184" s="1" t="s">
        <v>24</v>
      </c>
      <c r="H184" s="1">
        <v>1</v>
      </c>
      <c r="J184" s="1" t="s">
        <v>1035</v>
      </c>
      <c r="K184" s="1" t="s">
        <v>36</v>
      </c>
      <c r="L184" s="1" t="s">
        <v>1036</v>
      </c>
      <c r="M184" s="1" t="s">
        <v>1037</v>
      </c>
      <c r="N184" s="1" t="s">
        <v>1038</v>
      </c>
      <c r="O184" s="1" t="s">
        <v>30</v>
      </c>
      <c r="P184" s="4">
        <v>18.350000000000001</v>
      </c>
      <c r="Q184" s="5">
        <f t="shared" si="6"/>
        <v>22.02</v>
      </c>
      <c r="R184" s="4">
        <v>22.94</v>
      </c>
      <c r="S184" s="5">
        <f t="shared" si="7"/>
        <v>27.528000000000002</v>
      </c>
      <c r="T184" s="4">
        <v>27.52</v>
      </c>
      <c r="U184" s="5">
        <f t="shared" si="8"/>
        <v>33.024000000000001</v>
      </c>
      <c r="V184" s="1" t="s">
        <v>31</v>
      </c>
    </row>
    <row r="185" spans="1:22" x14ac:dyDescent="0.2">
      <c r="A185" s="1">
        <v>2057513</v>
      </c>
      <c r="B185" s="1" t="s">
        <v>1039</v>
      </c>
      <c r="C185" s="1" t="str">
        <f>"9788024625669"</f>
        <v>9788024625669</v>
      </c>
      <c r="D185" s="1" t="str">
        <f>"9788024625911"</f>
        <v>9788024625911</v>
      </c>
      <c r="E185" s="2" t="s">
        <v>421</v>
      </c>
      <c r="F185" s="2" t="s">
        <v>1020</v>
      </c>
      <c r="G185" s="1" t="s">
        <v>24</v>
      </c>
      <c r="H185" s="1">
        <v>1</v>
      </c>
      <c r="J185" s="1" t="s">
        <v>411</v>
      </c>
      <c r="K185" s="1" t="s">
        <v>412</v>
      </c>
      <c r="L185" s="1" t="s">
        <v>1040</v>
      </c>
      <c r="M185" s="1">
        <v>515</v>
      </c>
      <c r="N185" s="1" t="s">
        <v>1041</v>
      </c>
      <c r="O185" s="1" t="s">
        <v>39</v>
      </c>
      <c r="P185" s="4">
        <v>13.76</v>
      </c>
      <c r="Q185" s="5">
        <f t="shared" si="6"/>
        <v>16.512</v>
      </c>
      <c r="R185" s="4">
        <v>17.2</v>
      </c>
      <c r="S185" s="5">
        <f t="shared" si="7"/>
        <v>20.639999999999997</v>
      </c>
      <c r="T185" s="4">
        <v>20.64</v>
      </c>
      <c r="U185" s="5">
        <f t="shared" si="8"/>
        <v>24.768000000000001</v>
      </c>
      <c r="V185" s="1" t="s">
        <v>31</v>
      </c>
    </row>
    <row r="186" spans="1:22" x14ac:dyDescent="0.2">
      <c r="A186" s="1">
        <v>2057514</v>
      </c>
      <c r="B186" s="1" t="s">
        <v>1042</v>
      </c>
      <c r="C186" s="1" t="str">
        <f>"9788024624129"</f>
        <v>9788024624129</v>
      </c>
      <c r="D186" s="1" t="str">
        <f>"9788024626000"</f>
        <v>9788024626000</v>
      </c>
      <c r="E186" s="2" t="s">
        <v>22</v>
      </c>
      <c r="F186" s="2" t="s">
        <v>1020</v>
      </c>
      <c r="G186" s="1" t="s">
        <v>24</v>
      </c>
      <c r="H186" s="1">
        <v>1</v>
      </c>
      <c r="J186" s="1" t="s">
        <v>1043</v>
      </c>
      <c r="K186" s="1" t="s">
        <v>260</v>
      </c>
      <c r="L186" s="1" t="s">
        <v>1044</v>
      </c>
      <c r="M186" s="1" t="s">
        <v>1045</v>
      </c>
      <c r="N186" s="1" t="s">
        <v>1046</v>
      </c>
      <c r="O186" s="1" t="s">
        <v>39</v>
      </c>
      <c r="P186" s="4">
        <v>13.76</v>
      </c>
      <c r="Q186" s="5">
        <f t="shared" si="6"/>
        <v>16.512</v>
      </c>
      <c r="R186" s="4">
        <v>17.2</v>
      </c>
      <c r="S186" s="5">
        <f t="shared" si="7"/>
        <v>20.639999999999997</v>
      </c>
      <c r="T186" s="4">
        <v>20.64</v>
      </c>
      <c r="U186" s="5">
        <f t="shared" si="8"/>
        <v>24.768000000000001</v>
      </c>
      <c r="V186" s="1" t="s">
        <v>31</v>
      </c>
    </row>
    <row r="187" spans="1:22" x14ac:dyDescent="0.2">
      <c r="A187" s="1">
        <v>2057515</v>
      </c>
      <c r="B187" s="1" t="s">
        <v>1047</v>
      </c>
      <c r="C187" s="1" t="str">
        <f>"9788024625607"</f>
        <v>9788024625607</v>
      </c>
      <c r="D187" s="1" t="str">
        <f>"9788024626048"</f>
        <v>9788024626048</v>
      </c>
      <c r="E187" s="2" t="s">
        <v>443</v>
      </c>
      <c r="F187" s="2" t="s">
        <v>1020</v>
      </c>
      <c r="G187" s="1" t="s">
        <v>24</v>
      </c>
      <c r="H187" s="1">
        <v>1</v>
      </c>
      <c r="J187" s="1" t="s">
        <v>1048</v>
      </c>
      <c r="K187" s="1" t="s">
        <v>93</v>
      </c>
      <c r="L187" s="1" t="s">
        <v>1049</v>
      </c>
      <c r="M187" s="1" t="s">
        <v>1050</v>
      </c>
      <c r="N187" s="1" t="s">
        <v>1051</v>
      </c>
      <c r="O187" s="1" t="s">
        <v>30</v>
      </c>
      <c r="P187" s="4">
        <v>13.76</v>
      </c>
      <c r="Q187" s="5">
        <f t="shared" si="6"/>
        <v>16.512</v>
      </c>
      <c r="R187" s="4">
        <v>17.2</v>
      </c>
      <c r="S187" s="5">
        <f t="shared" si="7"/>
        <v>20.639999999999997</v>
      </c>
      <c r="T187" s="4">
        <v>20.64</v>
      </c>
      <c r="U187" s="5">
        <f t="shared" si="8"/>
        <v>24.768000000000001</v>
      </c>
      <c r="V187" s="1" t="s">
        <v>31</v>
      </c>
    </row>
    <row r="188" spans="1:22" x14ac:dyDescent="0.2">
      <c r="A188" s="1">
        <v>2057516</v>
      </c>
      <c r="B188" s="1" t="s">
        <v>1052</v>
      </c>
      <c r="C188" s="1" t="str">
        <f>"9788024626123"</f>
        <v>9788024626123</v>
      </c>
      <c r="D188" s="1" t="str">
        <f>"9788024626178"</f>
        <v>9788024626178</v>
      </c>
      <c r="E188" s="2" t="s">
        <v>443</v>
      </c>
      <c r="F188" s="2" t="s">
        <v>1020</v>
      </c>
      <c r="G188" s="1" t="s">
        <v>24</v>
      </c>
      <c r="H188" s="1">
        <v>1</v>
      </c>
      <c r="J188" s="1" t="s">
        <v>1053</v>
      </c>
      <c r="K188" s="1" t="s">
        <v>1054</v>
      </c>
      <c r="L188" s="1" t="s">
        <v>1055</v>
      </c>
      <c r="M188" s="1" t="s">
        <v>1056</v>
      </c>
      <c r="N188" s="1" t="s">
        <v>1057</v>
      </c>
      <c r="O188" s="1" t="s">
        <v>39</v>
      </c>
      <c r="P188" s="4">
        <v>13.76</v>
      </c>
      <c r="Q188" s="5">
        <f t="shared" si="6"/>
        <v>16.512</v>
      </c>
      <c r="R188" s="4">
        <v>17.2</v>
      </c>
      <c r="S188" s="5">
        <f t="shared" si="7"/>
        <v>20.639999999999997</v>
      </c>
      <c r="T188" s="4">
        <v>20.64</v>
      </c>
      <c r="U188" s="5">
        <f t="shared" si="8"/>
        <v>24.768000000000001</v>
      </c>
      <c r="V188" s="1" t="s">
        <v>31</v>
      </c>
    </row>
    <row r="189" spans="1:22" x14ac:dyDescent="0.2">
      <c r="A189" s="1">
        <v>2057518</v>
      </c>
      <c r="B189" s="1" t="s">
        <v>1058</v>
      </c>
      <c r="C189" s="1" t="str">
        <f>"9788024626321"</f>
        <v>9788024626321</v>
      </c>
      <c r="D189" s="1" t="str">
        <f>"9788024626482"</f>
        <v>9788024626482</v>
      </c>
      <c r="E189" s="2" t="s">
        <v>443</v>
      </c>
      <c r="F189" s="2" t="s">
        <v>1020</v>
      </c>
      <c r="G189" s="1" t="s">
        <v>24</v>
      </c>
      <c r="H189" s="1">
        <v>1</v>
      </c>
      <c r="J189" s="1" t="s">
        <v>1059</v>
      </c>
      <c r="K189" s="1" t="s">
        <v>277</v>
      </c>
      <c r="L189" s="1" t="s">
        <v>1060</v>
      </c>
      <c r="M189" s="1" t="s">
        <v>1061</v>
      </c>
      <c r="N189" s="1" t="s">
        <v>1062</v>
      </c>
      <c r="O189" s="1" t="s">
        <v>39</v>
      </c>
      <c r="P189" s="4">
        <v>13.76</v>
      </c>
      <c r="Q189" s="5">
        <f t="shared" si="6"/>
        <v>16.512</v>
      </c>
      <c r="R189" s="4">
        <v>17.2</v>
      </c>
      <c r="S189" s="5">
        <f t="shared" si="7"/>
        <v>20.639999999999997</v>
      </c>
      <c r="T189" s="4">
        <v>20.64</v>
      </c>
      <c r="U189" s="5">
        <f t="shared" si="8"/>
        <v>24.768000000000001</v>
      </c>
      <c r="V189" s="1" t="s">
        <v>31</v>
      </c>
    </row>
    <row r="190" spans="1:22" x14ac:dyDescent="0.2">
      <c r="A190" s="1">
        <v>2057519</v>
      </c>
      <c r="B190" s="1" t="s">
        <v>1063</v>
      </c>
      <c r="C190" s="1" t="str">
        <f>"9788024626314"</f>
        <v>9788024626314</v>
      </c>
      <c r="D190" s="1" t="str">
        <f>"9788024626536"</f>
        <v>9788024626536</v>
      </c>
      <c r="E190" s="2" t="s">
        <v>91</v>
      </c>
      <c r="F190" s="2" t="s">
        <v>1020</v>
      </c>
      <c r="G190" s="1" t="s">
        <v>24</v>
      </c>
      <c r="H190" s="1">
        <v>1</v>
      </c>
      <c r="J190" s="1" t="s">
        <v>1064</v>
      </c>
      <c r="K190" s="1" t="s">
        <v>79</v>
      </c>
      <c r="L190" s="1" t="s">
        <v>1065</v>
      </c>
      <c r="M190" s="1">
        <v>428</v>
      </c>
      <c r="N190" s="1" t="s">
        <v>1066</v>
      </c>
      <c r="O190" s="1" t="s">
        <v>39</v>
      </c>
      <c r="P190" s="4">
        <v>16.510000000000002</v>
      </c>
      <c r="Q190" s="5">
        <f t="shared" si="6"/>
        <v>19.812000000000001</v>
      </c>
      <c r="R190" s="4">
        <v>20.64</v>
      </c>
      <c r="S190" s="5">
        <f t="shared" si="7"/>
        <v>24.768000000000001</v>
      </c>
      <c r="T190" s="4">
        <v>24.77</v>
      </c>
      <c r="U190" s="5">
        <f t="shared" si="8"/>
        <v>29.723999999999997</v>
      </c>
      <c r="V190" s="1" t="s">
        <v>31</v>
      </c>
    </row>
    <row r="191" spans="1:22" x14ac:dyDescent="0.2">
      <c r="A191" s="1">
        <v>2057522</v>
      </c>
      <c r="B191" s="1" t="s">
        <v>1067</v>
      </c>
      <c r="C191" s="1" t="str">
        <f>"9788024626765"</f>
        <v>9788024626765</v>
      </c>
      <c r="D191" s="1" t="str">
        <f>"9788024627090"</f>
        <v>9788024627090</v>
      </c>
      <c r="E191" s="2" t="s">
        <v>1068</v>
      </c>
      <c r="F191" s="2" t="s">
        <v>1020</v>
      </c>
      <c r="G191" s="1" t="s">
        <v>24</v>
      </c>
      <c r="H191" s="1">
        <v>1</v>
      </c>
      <c r="J191" s="1" t="s">
        <v>1069</v>
      </c>
      <c r="K191" s="1" t="s">
        <v>174</v>
      </c>
      <c r="L191" s="1" t="s">
        <v>1070</v>
      </c>
      <c r="M191" s="1" t="s">
        <v>1071</v>
      </c>
      <c r="N191" s="1" t="s">
        <v>1072</v>
      </c>
      <c r="O191" s="1" t="s">
        <v>30</v>
      </c>
      <c r="P191" s="4">
        <v>18.350000000000001</v>
      </c>
      <c r="Q191" s="5">
        <f t="shared" si="6"/>
        <v>22.02</v>
      </c>
      <c r="R191" s="4">
        <v>22.94</v>
      </c>
      <c r="S191" s="5">
        <f t="shared" si="7"/>
        <v>27.528000000000002</v>
      </c>
      <c r="T191" s="4">
        <v>27.52</v>
      </c>
      <c r="U191" s="5">
        <f t="shared" si="8"/>
        <v>33.024000000000001</v>
      </c>
      <c r="V191" s="1" t="s">
        <v>31</v>
      </c>
    </row>
    <row r="192" spans="1:22" x14ac:dyDescent="0.2">
      <c r="A192" s="1">
        <v>2057523</v>
      </c>
      <c r="B192" s="1" t="s">
        <v>1073</v>
      </c>
      <c r="C192" s="1" t="str">
        <f>"9788024627465"</f>
        <v>9788024627465</v>
      </c>
      <c r="D192" s="1" t="str">
        <f>"9788024627595"</f>
        <v>9788024627595</v>
      </c>
      <c r="E192" s="2" t="s">
        <v>166</v>
      </c>
      <c r="F192" s="2" t="s">
        <v>1020</v>
      </c>
      <c r="G192" s="1" t="s">
        <v>24</v>
      </c>
      <c r="H192" s="1">
        <v>1</v>
      </c>
      <c r="J192" s="1" t="s">
        <v>1074</v>
      </c>
      <c r="K192" s="1" t="s">
        <v>181</v>
      </c>
      <c r="L192" s="1" t="s">
        <v>1075</v>
      </c>
      <c r="M192" s="1" t="s">
        <v>1076</v>
      </c>
      <c r="N192" s="1" t="s">
        <v>1077</v>
      </c>
      <c r="O192" s="1" t="s">
        <v>39</v>
      </c>
      <c r="P192" s="4">
        <v>14.68</v>
      </c>
      <c r="Q192" s="5">
        <f t="shared" si="6"/>
        <v>17.616</v>
      </c>
      <c r="R192" s="4">
        <v>18.350000000000001</v>
      </c>
      <c r="S192" s="5">
        <f t="shared" si="7"/>
        <v>22.02</v>
      </c>
      <c r="T192" s="4">
        <v>22.02</v>
      </c>
      <c r="U192" s="5">
        <f t="shared" si="8"/>
        <v>26.423999999999999</v>
      </c>
      <c r="V192" s="1" t="s">
        <v>31</v>
      </c>
    </row>
    <row r="193" spans="1:22" x14ac:dyDescent="0.2">
      <c r="A193" s="1">
        <v>2057525</v>
      </c>
      <c r="B193" s="1" t="s">
        <v>1078</v>
      </c>
      <c r="C193" s="1" t="str">
        <f>"9788024627328"</f>
        <v>9788024627328</v>
      </c>
      <c r="D193" s="1" t="str">
        <f>"9788024627762"</f>
        <v>9788024627762</v>
      </c>
      <c r="E193" s="2" t="s">
        <v>868</v>
      </c>
      <c r="F193" s="2" t="s">
        <v>1020</v>
      </c>
      <c r="G193" s="1" t="s">
        <v>24</v>
      </c>
      <c r="H193" s="1">
        <v>1</v>
      </c>
      <c r="J193" s="1" t="s">
        <v>1079</v>
      </c>
      <c r="K193" s="1" t="s">
        <v>1080</v>
      </c>
      <c r="L193" s="1" t="s">
        <v>1081</v>
      </c>
      <c r="M193" s="1">
        <v>300</v>
      </c>
      <c r="N193" s="1" t="s">
        <v>1082</v>
      </c>
      <c r="O193" s="1" t="s">
        <v>39</v>
      </c>
      <c r="P193" s="4">
        <v>16.510000000000002</v>
      </c>
      <c r="Q193" s="5">
        <f t="shared" si="6"/>
        <v>19.812000000000001</v>
      </c>
      <c r="R193" s="4">
        <v>20.64</v>
      </c>
      <c r="S193" s="5">
        <f t="shared" si="7"/>
        <v>24.768000000000001</v>
      </c>
      <c r="T193" s="4">
        <v>24.77</v>
      </c>
      <c r="U193" s="5">
        <f t="shared" si="8"/>
        <v>29.723999999999997</v>
      </c>
      <c r="V193" s="1" t="s">
        <v>31</v>
      </c>
    </row>
    <row r="194" spans="1:22" x14ac:dyDescent="0.2">
      <c r="A194" s="1">
        <v>2057527</v>
      </c>
      <c r="B194" s="1" t="s">
        <v>1083</v>
      </c>
      <c r="C194" s="1" t="str">
        <f>"9788024627830"</f>
        <v>9788024627830</v>
      </c>
      <c r="D194" s="1" t="str">
        <f>"9788024628042"</f>
        <v>9788024628042</v>
      </c>
      <c r="E194" s="2" t="s">
        <v>868</v>
      </c>
      <c r="F194" s="2" t="s">
        <v>1020</v>
      </c>
      <c r="G194" s="1" t="s">
        <v>24</v>
      </c>
      <c r="H194" s="1">
        <v>1</v>
      </c>
      <c r="J194" s="1" t="s">
        <v>1084</v>
      </c>
      <c r="K194" s="1" t="s">
        <v>788</v>
      </c>
      <c r="L194" s="1" t="s">
        <v>1085</v>
      </c>
      <c r="M194" s="1" t="s">
        <v>1086</v>
      </c>
      <c r="N194" s="1" t="s">
        <v>1087</v>
      </c>
      <c r="O194" s="1" t="s">
        <v>39</v>
      </c>
      <c r="P194" s="4">
        <v>13.76</v>
      </c>
      <c r="Q194" s="5">
        <f t="shared" si="6"/>
        <v>16.512</v>
      </c>
      <c r="R194" s="4">
        <v>17.2</v>
      </c>
      <c r="S194" s="5">
        <f t="shared" si="7"/>
        <v>20.639999999999997</v>
      </c>
      <c r="T194" s="4">
        <v>20.64</v>
      </c>
      <c r="U194" s="5">
        <f t="shared" si="8"/>
        <v>24.768000000000001</v>
      </c>
      <c r="V194" s="1" t="s">
        <v>31</v>
      </c>
    </row>
    <row r="195" spans="1:22" x14ac:dyDescent="0.2">
      <c r="A195" s="1">
        <v>2057528</v>
      </c>
      <c r="B195" s="1" t="s">
        <v>1088</v>
      </c>
      <c r="C195" s="1" t="str">
        <f>"9788024627847"</f>
        <v>9788024627847</v>
      </c>
      <c r="D195" s="1" t="str">
        <f>"9788024628486"</f>
        <v>9788024628486</v>
      </c>
      <c r="E195" s="2" t="s">
        <v>122</v>
      </c>
      <c r="F195" s="2" t="s">
        <v>1020</v>
      </c>
      <c r="G195" s="1" t="s">
        <v>24</v>
      </c>
      <c r="H195" s="1">
        <v>1</v>
      </c>
      <c r="I195" s="1" t="s">
        <v>1089</v>
      </c>
      <c r="J195" s="1" t="s">
        <v>1090</v>
      </c>
      <c r="K195" s="1" t="s">
        <v>138</v>
      </c>
      <c r="L195" s="1" t="s">
        <v>1091</v>
      </c>
      <c r="M195" s="1">
        <v>900</v>
      </c>
      <c r="N195" s="1" t="s">
        <v>1092</v>
      </c>
      <c r="O195" s="1" t="s">
        <v>39</v>
      </c>
      <c r="P195" s="4">
        <v>13.76</v>
      </c>
      <c r="Q195" s="5">
        <f t="shared" ref="Q195:Q258" si="9">P195*1.2</f>
        <v>16.512</v>
      </c>
      <c r="R195" s="4">
        <v>17.2</v>
      </c>
      <c r="S195" s="5">
        <f t="shared" ref="S195:S258" si="10">R195*1.2</f>
        <v>20.639999999999997</v>
      </c>
      <c r="T195" s="4">
        <v>20.64</v>
      </c>
      <c r="U195" s="5">
        <f t="shared" ref="U195:U258" si="11">T195*1.2</f>
        <v>24.768000000000001</v>
      </c>
      <c r="V195" s="1" t="s">
        <v>31</v>
      </c>
    </row>
    <row r="196" spans="1:22" x14ac:dyDescent="0.2">
      <c r="A196" s="1">
        <v>2057531</v>
      </c>
      <c r="B196" s="1" t="s">
        <v>1093</v>
      </c>
      <c r="C196" s="1" t="str">
        <f>"9788024628707"</f>
        <v>9788024628707</v>
      </c>
      <c r="D196" s="1" t="str">
        <f>"9788024630021"</f>
        <v>9788024630021</v>
      </c>
      <c r="E196" s="2" t="s">
        <v>981</v>
      </c>
      <c r="F196" s="2" t="s">
        <v>1020</v>
      </c>
      <c r="G196" s="1" t="s">
        <v>24</v>
      </c>
      <c r="H196" s="1">
        <v>1</v>
      </c>
      <c r="J196" s="1" t="s">
        <v>1094</v>
      </c>
      <c r="K196" s="1" t="s">
        <v>334</v>
      </c>
      <c r="L196" s="1" t="s">
        <v>1095</v>
      </c>
      <c r="M196" s="1" t="s">
        <v>1096</v>
      </c>
      <c r="N196" s="1" t="s">
        <v>1097</v>
      </c>
      <c r="O196" s="1" t="s">
        <v>39</v>
      </c>
      <c r="P196" s="4">
        <v>22.94</v>
      </c>
      <c r="Q196" s="5">
        <f t="shared" si="9"/>
        <v>27.528000000000002</v>
      </c>
      <c r="R196" s="4">
        <v>28.67</v>
      </c>
      <c r="S196" s="5">
        <f t="shared" si="10"/>
        <v>34.404000000000003</v>
      </c>
      <c r="T196" s="4">
        <v>34.4</v>
      </c>
      <c r="U196" s="5">
        <f t="shared" si="11"/>
        <v>41.279999999999994</v>
      </c>
      <c r="V196" s="1" t="s">
        <v>31</v>
      </c>
    </row>
    <row r="197" spans="1:22" x14ac:dyDescent="0.2">
      <c r="A197" s="1">
        <v>2100414</v>
      </c>
      <c r="B197" s="1" t="s">
        <v>1098</v>
      </c>
      <c r="C197" s="1" t="str">
        <f>"9788024629360"</f>
        <v>9788024629360</v>
      </c>
      <c r="D197" s="1" t="str">
        <f>"9788024629490"</f>
        <v>9788024629490</v>
      </c>
      <c r="E197" s="2" t="s">
        <v>1099</v>
      </c>
      <c r="F197" s="2" t="s">
        <v>1100</v>
      </c>
      <c r="G197" s="1" t="s">
        <v>24</v>
      </c>
      <c r="H197" s="1">
        <v>1</v>
      </c>
      <c r="J197" s="1" t="s">
        <v>1101</v>
      </c>
      <c r="K197" s="1" t="s">
        <v>79</v>
      </c>
      <c r="L197" s="1" t="s">
        <v>1102</v>
      </c>
      <c r="M197" s="1" t="s">
        <v>1103</v>
      </c>
      <c r="N197" s="1" t="s">
        <v>1104</v>
      </c>
      <c r="O197" s="1" t="s">
        <v>30</v>
      </c>
      <c r="P197" s="4">
        <v>16.510000000000002</v>
      </c>
      <c r="Q197" s="5">
        <f t="shared" si="9"/>
        <v>19.812000000000001</v>
      </c>
      <c r="R197" s="4">
        <v>20.64</v>
      </c>
      <c r="S197" s="5">
        <f t="shared" si="10"/>
        <v>24.768000000000001</v>
      </c>
      <c r="T197" s="4">
        <v>24.77</v>
      </c>
      <c r="U197" s="5">
        <f t="shared" si="11"/>
        <v>29.723999999999997</v>
      </c>
      <c r="V197" s="1" t="s">
        <v>31</v>
      </c>
    </row>
    <row r="198" spans="1:22" x14ac:dyDescent="0.2">
      <c r="A198" s="1">
        <v>2100415</v>
      </c>
      <c r="B198" s="1" t="s">
        <v>1105</v>
      </c>
      <c r="C198" s="1" t="str">
        <f>"9788024629773"</f>
        <v>9788024629773</v>
      </c>
      <c r="D198" s="1" t="str">
        <f>"9788024629827"</f>
        <v>9788024629827</v>
      </c>
      <c r="E198" s="2" t="s">
        <v>1005</v>
      </c>
      <c r="F198" s="2" t="s">
        <v>1100</v>
      </c>
      <c r="G198" s="1" t="s">
        <v>24</v>
      </c>
      <c r="H198" s="1">
        <v>1</v>
      </c>
      <c r="J198" s="1" t="s">
        <v>1106</v>
      </c>
      <c r="K198" s="1" t="s">
        <v>260</v>
      </c>
      <c r="L198" s="1" t="s">
        <v>1107</v>
      </c>
      <c r="M198" s="1" t="s">
        <v>1108</v>
      </c>
      <c r="N198" s="1" t="s">
        <v>1109</v>
      </c>
      <c r="O198" s="1" t="s">
        <v>39</v>
      </c>
      <c r="P198" s="4">
        <v>13.76</v>
      </c>
      <c r="Q198" s="5">
        <f t="shared" si="9"/>
        <v>16.512</v>
      </c>
      <c r="R198" s="4">
        <v>17.2</v>
      </c>
      <c r="S198" s="5">
        <f t="shared" si="10"/>
        <v>20.639999999999997</v>
      </c>
      <c r="T198" s="4">
        <v>20.64</v>
      </c>
      <c r="U198" s="5">
        <f t="shared" si="11"/>
        <v>24.768000000000001</v>
      </c>
      <c r="V198" s="1" t="s">
        <v>31</v>
      </c>
    </row>
    <row r="199" spans="1:22" x14ac:dyDescent="0.2">
      <c r="A199" s="1">
        <v>2104957</v>
      </c>
      <c r="B199" s="1" t="s">
        <v>1110</v>
      </c>
      <c r="C199" s="1" t="str">
        <f>"9788024623214"</f>
        <v>9788024623214</v>
      </c>
      <c r="D199" s="1" t="str">
        <f>"9788024623498"</f>
        <v>9788024623498</v>
      </c>
      <c r="E199" s="2" t="s">
        <v>775</v>
      </c>
      <c r="F199" s="2" t="s">
        <v>1100</v>
      </c>
      <c r="G199" s="1" t="s">
        <v>24</v>
      </c>
      <c r="H199" s="1">
        <v>1</v>
      </c>
      <c r="J199" s="1" t="s">
        <v>1111</v>
      </c>
      <c r="K199" s="1" t="s">
        <v>1112</v>
      </c>
      <c r="L199" s="1" t="s">
        <v>1113</v>
      </c>
      <c r="M199" s="1" t="s">
        <v>1114</v>
      </c>
      <c r="N199" s="1" t="s">
        <v>1115</v>
      </c>
      <c r="O199" s="1" t="s">
        <v>30</v>
      </c>
      <c r="P199" s="4">
        <v>13.76</v>
      </c>
      <c r="Q199" s="5">
        <f t="shared" si="9"/>
        <v>16.512</v>
      </c>
      <c r="R199" s="4">
        <v>17.2</v>
      </c>
      <c r="S199" s="5">
        <f t="shared" si="10"/>
        <v>20.639999999999997</v>
      </c>
      <c r="T199" s="4">
        <v>20.64</v>
      </c>
      <c r="U199" s="5">
        <f t="shared" si="11"/>
        <v>24.768000000000001</v>
      </c>
      <c r="V199" s="1" t="s">
        <v>31</v>
      </c>
    </row>
    <row r="200" spans="1:22" x14ac:dyDescent="0.2">
      <c r="A200" s="1">
        <v>2104961</v>
      </c>
      <c r="B200" s="1" t="s">
        <v>1116</v>
      </c>
      <c r="C200" s="1" t="str">
        <f>"9788024622897"</f>
        <v>9788024622897</v>
      </c>
      <c r="D200" s="1" t="str">
        <f>"9788024630052"</f>
        <v>9788024630052</v>
      </c>
      <c r="E200" s="2" t="s">
        <v>122</v>
      </c>
      <c r="F200" s="2" t="s">
        <v>1100</v>
      </c>
      <c r="G200" s="1" t="s">
        <v>24</v>
      </c>
      <c r="H200" s="1">
        <v>1</v>
      </c>
      <c r="J200" s="1" t="s">
        <v>1117</v>
      </c>
      <c r="K200" s="1" t="s">
        <v>79</v>
      </c>
      <c r="L200" s="1" t="s">
        <v>1118</v>
      </c>
      <c r="M200" s="1">
        <v>415</v>
      </c>
      <c r="N200" s="1" t="s">
        <v>1119</v>
      </c>
      <c r="O200" s="1" t="s">
        <v>39</v>
      </c>
      <c r="P200" s="4">
        <v>20.18</v>
      </c>
      <c r="Q200" s="5">
        <f t="shared" si="9"/>
        <v>24.215999999999998</v>
      </c>
      <c r="R200" s="4">
        <v>25.23</v>
      </c>
      <c r="S200" s="5">
        <f t="shared" si="10"/>
        <v>30.276</v>
      </c>
      <c r="T200" s="4">
        <v>30.28</v>
      </c>
      <c r="U200" s="5">
        <f t="shared" si="11"/>
        <v>36.335999999999999</v>
      </c>
      <c r="V200" s="1" t="s">
        <v>31</v>
      </c>
    </row>
    <row r="201" spans="1:22" x14ac:dyDescent="0.2">
      <c r="A201" s="1">
        <v>2119118</v>
      </c>
      <c r="B201" s="1" t="s">
        <v>1120</v>
      </c>
      <c r="C201" s="1" t="str">
        <f>"9788024624372"</f>
        <v>9788024624372</v>
      </c>
      <c r="D201" s="1" t="str">
        <f>"9788024624501"</f>
        <v>9788024624501</v>
      </c>
      <c r="E201" s="2" t="s">
        <v>109</v>
      </c>
      <c r="F201" s="2" t="s">
        <v>1121</v>
      </c>
      <c r="G201" s="1" t="s">
        <v>24</v>
      </c>
      <c r="H201" s="1">
        <v>1</v>
      </c>
      <c r="I201" s="1" t="s">
        <v>1122</v>
      </c>
      <c r="J201" s="1" t="s">
        <v>936</v>
      </c>
      <c r="K201" s="1" t="s">
        <v>111</v>
      </c>
      <c r="L201" s="1" t="s">
        <v>1123</v>
      </c>
      <c r="M201" s="1" t="s">
        <v>1124</v>
      </c>
      <c r="N201" s="1" t="s">
        <v>1125</v>
      </c>
      <c r="O201" s="1" t="s">
        <v>171</v>
      </c>
      <c r="P201" s="4">
        <v>16.510000000000002</v>
      </c>
      <c r="Q201" s="5">
        <f t="shared" si="9"/>
        <v>19.812000000000001</v>
      </c>
      <c r="R201" s="4">
        <v>20.64</v>
      </c>
      <c r="S201" s="5">
        <f t="shared" si="10"/>
        <v>24.768000000000001</v>
      </c>
      <c r="T201" s="4">
        <v>24.77</v>
      </c>
      <c r="U201" s="5">
        <f t="shared" si="11"/>
        <v>29.723999999999997</v>
      </c>
      <c r="V201" s="1" t="s">
        <v>31</v>
      </c>
    </row>
    <row r="202" spans="1:22" x14ac:dyDescent="0.2">
      <c r="A202" s="1">
        <v>2119119</v>
      </c>
      <c r="B202" s="1" t="s">
        <v>1126</v>
      </c>
      <c r="C202" s="1" t="str">
        <f>"9788024626789"</f>
        <v>9788024626789</v>
      </c>
      <c r="D202" s="1" t="str">
        <f>"9788024627106"</f>
        <v>9788024627106</v>
      </c>
      <c r="E202" s="2" t="s">
        <v>1127</v>
      </c>
      <c r="F202" s="2" t="s">
        <v>1121</v>
      </c>
      <c r="G202" s="1" t="s">
        <v>24</v>
      </c>
      <c r="H202" s="1">
        <v>1</v>
      </c>
      <c r="J202" s="1" t="s">
        <v>1128</v>
      </c>
      <c r="K202" s="1" t="s">
        <v>174</v>
      </c>
      <c r="L202" s="1" t="s">
        <v>1129</v>
      </c>
      <c r="M202" s="1">
        <v>937</v>
      </c>
      <c r="N202" s="1" t="s">
        <v>1130</v>
      </c>
      <c r="O202" s="1" t="s">
        <v>30</v>
      </c>
      <c r="P202" s="4">
        <v>27.52</v>
      </c>
      <c r="Q202" s="5">
        <f t="shared" si="9"/>
        <v>33.024000000000001</v>
      </c>
      <c r="R202" s="4">
        <v>34.4</v>
      </c>
      <c r="S202" s="5">
        <f t="shared" si="10"/>
        <v>41.279999999999994</v>
      </c>
      <c r="T202" s="4">
        <v>41.28</v>
      </c>
      <c r="U202" s="5">
        <f t="shared" si="11"/>
        <v>49.536000000000001</v>
      </c>
      <c r="V202" s="1" t="s">
        <v>31</v>
      </c>
    </row>
    <row r="203" spans="1:22" x14ac:dyDescent="0.2">
      <c r="A203" s="1">
        <v>2119120</v>
      </c>
      <c r="B203" s="1" t="s">
        <v>1131</v>
      </c>
      <c r="C203" s="1" t="str">
        <f>"9788024627434"</f>
        <v>9788024627434</v>
      </c>
      <c r="D203" s="1" t="str">
        <f>"9788024628332"</f>
        <v>9788024628332</v>
      </c>
      <c r="E203" s="2" t="s">
        <v>1132</v>
      </c>
      <c r="F203" s="2" t="s">
        <v>1121</v>
      </c>
      <c r="G203" s="1" t="s">
        <v>24</v>
      </c>
      <c r="H203" s="1">
        <v>1</v>
      </c>
      <c r="J203" s="1" t="s">
        <v>1133</v>
      </c>
      <c r="K203" s="1" t="s">
        <v>341</v>
      </c>
      <c r="L203" s="1" t="s">
        <v>1134</v>
      </c>
      <c r="M203" s="1">
        <v>194</v>
      </c>
      <c r="N203" s="1" t="s">
        <v>1135</v>
      </c>
      <c r="O203" s="1" t="s">
        <v>39</v>
      </c>
      <c r="P203" s="4">
        <v>13.76</v>
      </c>
      <c r="Q203" s="5">
        <f t="shared" si="9"/>
        <v>16.512</v>
      </c>
      <c r="R203" s="4">
        <v>17.2</v>
      </c>
      <c r="S203" s="5">
        <f t="shared" si="10"/>
        <v>20.639999999999997</v>
      </c>
      <c r="T203" s="4">
        <v>20.64</v>
      </c>
      <c r="U203" s="5">
        <f t="shared" si="11"/>
        <v>24.768000000000001</v>
      </c>
      <c r="V203" s="1" t="s">
        <v>31</v>
      </c>
    </row>
    <row r="204" spans="1:22" x14ac:dyDescent="0.2">
      <c r="A204" s="1">
        <v>2119121</v>
      </c>
      <c r="B204" s="1" t="s">
        <v>1136</v>
      </c>
      <c r="C204" s="1" t="str">
        <f>"9788024628622"</f>
        <v>9788024628622</v>
      </c>
      <c r="D204" s="1" t="str">
        <f>"9788024628875"</f>
        <v>9788024628875</v>
      </c>
      <c r="E204" s="2" t="s">
        <v>1020</v>
      </c>
      <c r="F204" s="2" t="s">
        <v>1121</v>
      </c>
      <c r="G204" s="1" t="s">
        <v>24</v>
      </c>
      <c r="H204" s="1">
        <v>1</v>
      </c>
      <c r="I204" s="1" t="s">
        <v>1137</v>
      </c>
      <c r="J204" s="1" t="s">
        <v>1138</v>
      </c>
      <c r="K204" s="1" t="s">
        <v>111</v>
      </c>
      <c r="L204" s="1" t="s">
        <v>1139</v>
      </c>
      <c r="M204" s="1" t="s">
        <v>1140</v>
      </c>
      <c r="N204" s="1" t="s">
        <v>1141</v>
      </c>
      <c r="O204" s="1" t="s">
        <v>171</v>
      </c>
      <c r="P204" s="4">
        <v>18.350000000000001</v>
      </c>
      <c r="Q204" s="5">
        <f t="shared" si="9"/>
        <v>22.02</v>
      </c>
      <c r="R204" s="4">
        <v>22.94</v>
      </c>
      <c r="S204" s="5">
        <f t="shared" si="10"/>
        <v>27.528000000000002</v>
      </c>
      <c r="T204" s="4">
        <v>27.52</v>
      </c>
      <c r="U204" s="5">
        <f t="shared" si="11"/>
        <v>33.024000000000001</v>
      </c>
      <c r="V204" s="1" t="s">
        <v>31</v>
      </c>
    </row>
    <row r="205" spans="1:22" x14ac:dyDescent="0.2">
      <c r="A205" s="1">
        <v>2119122</v>
      </c>
      <c r="B205" s="1" t="s">
        <v>1142</v>
      </c>
      <c r="C205" s="1" t="str">
        <f>"9788024629759"</f>
        <v>9788024629759</v>
      </c>
      <c r="D205" s="1" t="str">
        <f>"9788024630151"</f>
        <v>9788024630151</v>
      </c>
      <c r="E205" s="2" t="s">
        <v>1005</v>
      </c>
      <c r="F205" s="2" t="s">
        <v>1121</v>
      </c>
      <c r="G205" s="1" t="s">
        <v>24</v>
      </c>
      <c r="H205" s="1">
        <v>1</v>
      </c>
      <c r="J205" s="1" t="s">
        <v>1143</v>
      </c>
      <c r="K205" s="1" t="s">
        <v>79</v>
      </c>
      <c r="L205" s="1" t="s">
        <v>1144</v>
      </c>
      <c r="M205" s="1">
        <v>409</v>
      </c>
      <c r="N205" s="1" t="s">
        <v>1145</v>
      </c>
      <c r="O205" s="1" t="s">
        <v>39</v>
      </c>
      <c r="P205" s="4">
        <v>13.76</v>
      </c>
      <c r="Q205" s="5">
        <f t="shared" si="9"/>
        <v>16.512</v>
      </c>
      <c r="R205" s="4">
        <v>17.2</v>
      </c>
      <c r="S205" s="5">
        <f t="shared" si="10"/>
        <v>20.639999999999997</v>
      </c>
      <c r="T205" s="4">
        <v>20.64</v>
      </c>
      <c r="U205" s="5">
        <f t="shared" si="11"/>
        <v>24.768000000000001</v>
      </c>
      <c r="V205" s="1" t="s">
        <v>31</v>
      </c>
    </row>
    <row r="206" spans="1:22" x14ac:dyDescent="0.2">
      <c r="A206" s="1">
        <v>2119123</v>
      </c>
      <c r="B206" s="1" t="s">
        <v>1146</v>
      </c>
      <c r="C206" s="1" t="str">
        <f>"9788024630991"</f>
        <v>9788024630991</v>
      </c>
      <c r="D206" s="1" t="str">
        <f>"9788024631035"</f>
        <v>9788024631035</v>
      </c>
      <c r="E206" s="2" t="s">
        <v>1020</v>
      </c>
      <c r="F206" s="2" t="s">
        <v>1121</v>
      </c>
      <c r="G206" s="1" t="s">
        <v>24</v>
      </c>
      <c r="H206" s="1">
        <v>1</v>
      </c>
      <c r="J206" s="1" t="s">
        <v>1147</v>
      </c>
      <c r="K206" s="1" t="s">
        <v>124</v>
      </c>
      <c r="L206" s="1" t="s">
        <v>1148</v>
      </c>
      <c r="M206" s="1" t="s">
        <v>1149</v>
      </c>
      <c r="N206" s="1" t="s">
        <v>1150</v>
      </c>
      <c r="O206" s="1" t="s">
        <v>39</v>
      </c>
      <c r="P206" s="4">
        <v>13.76</v>
      </c>
      <c r="Q206" s="5">
        <f t="shared" si="9"/>
        <v>16.512</v>
      </c>
      <c r="R206" s="4">
        <v>17.2</v>
      </c>
      <c r="S206" s="5">
        <f t="shared" si="10"/>
        <v>20.639999999999997</v>
      </c>
      <c r="T206" s="4">
        <v>20.64</v>
      </c>
      <c r="U206" s="5">
        <f t="shared" si="11"/>
        <v>24.768000000000001</v>
      </c>
      <c r="V206" s="1" t="s">
        <v>31</v>
      </c>
    </row>
    <row r="207" spans="1:22" x14ac:dyDescent="0.2">
      <c r="A207" s="1">
        <v>3319617</v>
      </c>
      <c r="B207" s="1" t="s">
        <v>1151</v>
      </c>
      <c r="C207" s="1" t="str">
        <f>"9788024623771"</f>
        <v>9788024623771</v>
      </c>
      <c r="D207" s="1" t="str">
        <f>"9788024624068"</f>
        <v>9788024624068</v>
      </c>
      <c r="E207" s="2" t="s">
        <v>55</v>
      </c>
      <c r="F207" s="2" t="s">
        <v>1152</v>
      </c>
      <c r="G207" s="1" t="s">
        <v>24</v>
      </c>
      <c r="J207" s="1" t="s">
        <v>1153</v>
      </c>
      <c r="K207" s="1" t="s">
        <v>277</v>
      </c>
      <c r="L207" s="1" t="s">
        <v>1154</v>
      </c>
      <c r="M207" s="1" t="s">
        <v>1155</v>
      </c>
      <c r="N207" s="1" t="s">
        <v>1156</v>
      </c>
      <c r="O207" s="1" t="s">
        <v>39</v>
      </c>
      <c r="P207" s="4">
        <v>18.350000000000001</v>
      </c>
      <c r="Q207" s="5">
        <f t="shared" si="9"/>
        <v>22.02</v>
      </c>
      <c r="R207" s="4">
        <v>22.94</v>
      </c>
      <c r="S207" s="5">
        <f t="shared" si="10"/>
        <v>27.528000000000002</v>
      </c>
      <c r="T207" s="4">
        <v>27.52</v>
      </c>
      <c r="U207" s="5">
        <f t="shared" si="11"/>
        <v>33.024000000000001</v>
      </c>
      <c r="V207" s="1" t="s">
        <v>31</v>
      </c>
    </row>
    <row r="208" spans="1:22" x14ac:dyDescent="0.2">
      <c r="A208" s="1">
        <v>3319618</v>
      </c>
      <c r="B208" s="1" t="s">
        <v>1157</v>
      </c>
      <c r="C208" s="1" t="str">
        <f>"9788024612768"</f>
        <v>9788024612768</v>
      </c>
      <c r="D208" s="1" t="str">
        <f>"9788024623924"</f>
        <v>9788024623924</v>
      </c>
      <c r="E208" s="2" t="s">
        <v>1158</v>
      </c>
      <c r="F208" s="2" t="s">
        <v>1152</v>
      </c>
      <c r="G208" s="1" t="s">
        <v>24</v>
      </c>
      <c r="J208" s="1" t="s">
        <v>757</v>
      </c>
      <c r="K208" s="1" t="s">
        <v>150</v>
      </c>
      <c r="L208" s="1" t="s">
        <v>1159</v>
      </c>
      <c r="M208" s="1">
        <v>232</v>
      </c>
      <c r="N208" s="1" t="s">
        <v>1160</v>
      </c>
      <c r="O208" s="1" t="s">
        <v>39</v>
      </c>
      <c r="P208" s="4">
        <v>17.43</v>
      </c>
      <c r="Q208" s="5">
        <f t="shared" si="9"/>
        <v>20.916</v>
      </c>
      <c r="R208" s="4">
        <v>21.79</v>
      </c>
      <c r="S208" s="5">
        <f t="shared" si="10"/>
        <v>26.148</v>
      </c>
      <c r="T208" s="4">
        <v>26.15</v>
      </c>
      <c r="U208" s="5">
        <f t="shared" si="11"/>
        <v>31.379999999999995</v>
      </c>
      <c r="V208" s="1" t="s">
        <v>31</v>
      </c>
    </row>
    <row r="209" spans="1:22" x14ac:dyDescent="0.2">
      <c r="A209" s="1">
        <v>3319619</v>
      </c>
      <c r="B209" s="1" t="s">
        <v>1161</v>
      </c>
      <c r="C209" s="1" t="str">
        <f>"9788024616438"</f>
        <v>9788024616438</v>
      </c>
      <c r="D209" s="1" t="str">
        <f>"9788024623566"</f>
        <v>9788024623566</v>
      </c>
      <c r="E209" s="2" t="s">
        <v>1162</v>
      </c>
      <c r="F209" s="2" t="s">
        <v>1152</v>
      </c>
      <c r="G209" s="1" t="s">
        <v>24</v>
      </c>
      <c r="J209" s="1" t="s">
        <v>1163</v>
      </c>
      <c r="K209" s="1" t="s">
        <v>150</v>
      </c>
      <c r="L209" s="1" t="s">
        <v>1164</v>
      </c>
      <c r="M209" s="1" t="s">
        <v>1165</v>
      </c>
      <c r="N209" s="1" t="s">
        <v>1166</v>
      </c>
      <c r="O209" s="1" t="s">
        <v>39</v>
      </c>
      <c r="P209" s="4">
        <v>13.76</v>
      </c>
      <c r="Q209" s="5">
        <f t="shared" si="9"/>
        <v>16.512</v>
      </c>
      <c r="R209" s="4">
        <v>17.2</v>
      </c>
      <c r="S209" s="5">
        <f t="shared" si="10"/>
        <v>20.639999999999997</v>
      </c>
      <c r="T209" s="4">
        <v>20.64</v>
      </c>
      <c r="U209" s="5">
        <f t="shared" si="11"/>
        <v>24.768000000000001</v>
      </c>
      <c r="V209" s="1" t="s">
        <v>31</v>
      </c>
    </row>
    <row r="210" spans="1:22" x14ac:dyDescent="0.2">
      <c r="A210" s="1">
        <v>3319621</v>
      </c>
      <c r="B210" s="1" t="s">
        <v>1167</v>
      </c>
      <c r="C210" s="1" t="str">
        <f>"9788024622347"</f>
        <v>9788024622347</v>
      </c>
      <c r="D210" s="1" t="str">
        <f>"9788024624112"</f>
        <v>9788024624112</v>
      </c>
      <c r="E210" s="2" t="s">
        <v>223</v>
      </c>
      <c r="F210" s="2" t="s">
        <v>1152</v>
      </c>
      <c r="G210" s="1" t="s">
        <v>24</v>
      </c>
      <c r="J210" s="1" t="s">
        <v>1168</v>
      </c>
      <c r="K210" s="1" t="s">
        <v>111</v>
      </c>
      <c r="L210" s="1" t="s">
        <v>1169</v>
      </c>
      <c r="M210" s="1" t="s">
        <v>1170</v>
      </c>
      <c r="N210" s="1" t="s">
        <v>1171</v>
      </c>
      <c r="O210" s="1" t="s">
        <v>39</v>
      </c>
      <c r="P210" s="4">
        <v>18.350000000000001</v>
      </c>
      <c r="Q210" s="5">
        <f t="shared" si="9"/>
        <v>22.02</v>
      </c>
      <c r="R210" s="4">
        <v>22.94</v>
      </c>
      <c r="S210" s="5">
        <f t="shared" si="10"/>
        <v>27.528000000000002</v>
      </c>
      <c r="T210" s="4">
        <v>27.52</v>
      </c>
      <c r="U210" s="5">
        <f t="shared" si="11"/>
        <v>33.024000000000001</v>
      </c>
      <c r="V210" s="1" t="s">
        <v>31</v>
      </c>
    </row>
    <row r="211" spans="1:22" x14ac:dyDescent="0.2">
      <c r="A211" s="1">
        <v>3319623</v>
      </c>
      <c r="B211" s="1" t="s">
        <v>1172</v>
      </c>
      <c r="C211" s="1" t="str">
        <f>"9788024615929"</f>
        <v>9788024615929</v>
      </c>
      <c r="D211" s="1" t="str">
        <f>"9788024623610"</f>
        <v>9788024623610</v>
      </c>
      <c r="E211" s="2" t="s">
        <v>1173</v>
      </c>
      <c r="F211" s="2" t="s">
        <v>1152</v>
      </c>
      <c r="G211" s="1" t="s">
        <v>24</v>
      </c>
      <c r="J211" s="1" t="s">
        <v>757</v>
      </c>
      <c r="K211" s="1" t="s">
        <v>341</v>
      </c>
      <c r="L211" s="1" t="s">
        <v>1174</v>
      </c>
      <c r="M211" s="1" t="s">
        <v>1175</v>
      </c>
      <c r="N211" s="1" t="s">
        <v>1176</v>
      </c>
      <c r="O211" s="1" t="s">
        <v>39</v>
      </c>
      <c r="P211" s="4">
        <v>13.76</v>
      </c>
      <c r="Q211" s="5">
        <f t="shared" si="9"/>
        <v>16.512</v>
      </c>
      <c r="R211" s="4">
        <v>17.2</v>
      </c>
      <c r="S211" s="5">
        <f t="shared" si="10"/>
        <v>20.639999999999997</v>
      </c>
      <c r="T211" s="4">
        <v>20.64</v>
      </c>
      <c r="U211" s="5">
        <f t="shared" si="11"/>
        <v>24.768000000000001</v>
      </c>
      <c r="V211" s="1" t="s">
        <v>31</v>
      </c>
    </row>
    <row r="212" spans="1:22" x14ac:dyDescent="0.2">
      <c r="A212" s="1">
        <v>3319627</v>
      </c>
      <c r="B212" s="1" t="s">
        <v>1177</v>
      </c>
      <c r="C212" s="1" t="str">
        <f>"9788024622446"</f>
        <v>9788024622446</v>
      </c>
      <c r="D212" s="1" t="str">
        <f>"9788024624310"</f>
        <v>9788024624310</v>
      </c>
      <c r="E212" s="2" t="s">
        <v>55</v>
      </c>
      <c r="F212" s="2" t="s">
        <v>1152</v>
      </c>
      <c r="G212" s="1" t="s">
        <v>24</v>
      </c>
      <c r="J212" s="1" t="s">
        <v>1178</v>
      </c>
      <c r="K212" s="1" t="s">
        <v>150</v>
      </c>
      <c r="L212" s="1" t="s">
        <v>1179</v>
      </c>
      <c r="M212" s="1">
        <v>291</v>
      </c>
      <c r="N212" s="1" t="s">
        <v>1180</v>
      </c>
      <c r="O212" s="1" t="s">
        <v>39</v>
      </c>
      <c r="P212" s="4">
        <v>13.76</v>
      </c>
      <c r="Q212" s="5">
        <f t="shared" si="9"/>
        <v>16.512</v>
      </c>
      <c r="R212" s="4">
        <v>17.2</v>
      </c>
      <c r="S212" s="5">
        <f t="shared" si="10"/>
        <v>20.639999999999997</v>
      </c>
      <c r="T212" s="4">
        <v>20.64</v>
      </c>
      <c r="U212" s="5">
        <f t="shared" si="11"/>
        <v>24.768000000000001</v>
      </c>
      <c r="V212" s="1" t="s">
        <v>31</v>
      </c>
    </row>
    <row r="213" spans="1:22" x14ac:dyDescent="0.2">
      <c r="A213" s="1">
        <v>3319628</v>
      </c>
      <c r="B213" s="1" t="s">
        <v>1181</v>
      </c>
      <c r="C213" s="1" t="str">
        <f>"9788024606972"</f>
        <v>9788024606972</v>
      </c>
      <c r="D213" s="1" t="str">
        <f>"9788024623597"</f>
        <v>9788024623597</v>
      </c>
      <c r="E213" s="2" t="s">
        <v>1182</v>
      </c>
      <c r="F213" s="2" t="s">
        <v>1152</v>
      </c>
      <c r="G213" s="1" t="s">
        <v>24</v>
      </c>
      <c r="J213" s="1" t="s">
        <v>1183</v>
      </c>
      <c r="K213" s="1" t="s">
        <v>138</v>
      </c>
      <c r="L213" s="1" t="s">
        <v>1184</v>
      </c>
      <c r="M213" s="1" t="s">
        <v>1185</v>
      </c>
      <c r="N213" s="1" t="s">
        <v>1186</v>
      </c>
      <c r="O213" s="1" t="s">
        <v>39</v>
      </c>
      <c r="P213" s="4">
        <v>22.02</v>
      </c>
      <c r="Q213" s="5">
        <f t="shared" si="9"/>
        <v>26.423999999999999</v>
      </c>
      <c r="R213" s="4">
        <v>27.52</v>
      </c>
      <c r="S213" s="5">
        <f t="shared" si="10"/>
        <v>33.024000000000001</v>
      </c>
      <c r="T213" s="4">
        <v>33.03</v>
      </c>
      <c r="U213" s="5">
        <f t="shared" si="11"/>
        <v>39.636000000000003</v>
      </c>
      <c r="V213" s="1" t="s">
        <v>31</v>
      </c>
    </row>
    <row r="214" spans="1:22" x14ac:dyDescent="0.2">
      <c r="A214" s="1">
        <v>3319629</v>
      </c>
      <c r="B214" s="1" t="s">
        <v>1187</v>
      </c>
      <c r="C214" s="1" t="str">
        <f>"9788024620015"</f>
        <v>9788024620015</v>
      </c>
      <c r="D214" s="1" t="str">
        <f>"9788024623399"</f>
        <v>9788024623399</v>
      </c>
      <c r="E214" s="2" t="s">
        <v>1188</v>
      </c>
      <c r="F214" s="2" t="s">
        <v>1152</v>
      </c>
      <c r="G214" s="1" t="s">
        <v>24</v>
      </c>
      <c r="J214" s="1" t="s">
        <v>1035</v>
      </c>
      <c r="K214" s="1" t="s">
        <v>72</v>
      </c>
      <c r="L214" s="1" t="s">
        <v>1189</v>
      </c>
      <c r="M214" s="1" t="s">
        <v>1190</v>
      </c>
      <c r="N214" s="1" t="s">
        <v>1191</v>
      </c>
      <c r="O214" s="1" t="s">
        <v>39</v>
      </c>
      <c r="P214" s="4">
        <v>13.76</v>
      </c>
      <c r="Q214" s="5">
        <f t="shared" si="9"/>
        <v>16.512</v>
      </c>
      <c r="R214" s="4">
        <v>17.2</v>
      </c>
      <c r="S214" s="5">
        <f t="shared" si="10"/>
        <v>20.639999999999997</v>
      </c>
      <c r="T214" s="4">
        <v>20.64</v>
      </c>
      <c r="U214" s="5">
        <f t="shared" si="11"/>
        <v>24.768000000000001</v>
      </c>
      <c r="V214" s="1" t="s">
        <v>31</v>
      </c>
    </row>
    <row r="215" spans="1:22" x14ac:dyDescent="0.2">
      <c r="A215" s="1">
        <v>3319631</v>
      </c>
      <c r="B215" s="1" t="s">
        <v>1192</v>
      </c>
      <c r="C215" s="1" t="str">
        <f>"9788024616834"</f>
        <v>9788024616834</v>
      </c>
      <c r="D215" s="1" t="str">
        <f>"9788024623856"</f>
        <v>9788024623856</v>
      </c>
      <c r="E215" s="2" t="s">
        <v>1193</v>
      </c>
      <c r="F215" s="2" t="s">
        <v>1152</v>
      </c>
      <c r="G215" s="1" t="s">
        <v>24</v>
      </c>
      <c r="J215" s="1" t="s">
        <v>1194</v>
      </c>
      <c r="K215" s="1" t="s">
        <v>284</v>
      </c>
      <c r="L215" s="1" t="s">
        <v>1195</v>
      </c>
      <c r="M215" s="1" t="s">
        <v>1196</v>
      </c>
      <c r="N215" s="1" t="s">
        <v>1197</v>
      </c>
      <c r="O215" s="1" t="s">
        <v>39</v>
      </c>
      <c r="P215" s="4">
        <v>16.510000000000002</v>
      </c>
      <c r="Q215" s="5">
        <f t="shared" si="9"/>
        <v>19.812000000000001</v>
      </c>
      <c r="R215" s="4">
        <v>20.64</v>
      </c>
      <c r="S215" s="5">
        <f t="shared" si="10"/>
        <v>24.768000000000001</v>
      </c>
      <c r="T215" s="4">
        <v>24.77</v>
      </c>
      <c r="U215" s="5">
        <f t="shared" si="11"/>
        <v>29.723999999999997</v>
      </c>
      <c r="V215" s="1" t="s">
        <v>31</v>
      </c>
    </row>
    <row r="216" spans="1:22" x14ac:dyDescent="0.2">
      <c r="A216" s="1">
        <v>3319632</v>
      </c>
      <c r="B216" s="1" t="s">
        <v>1198</v>
      </c>
      <c r="C216" s="1" t="str">
        <f>"9788024618876"</f>
        <v>9788024618876</v>
      </c>
      <c r="D216" s="1" t="str">
        <f>"9788024623658"</f>
        <v>9788024623658</v>
      </c>
      <c r="E216" s="2" t="s">
        <v>498</v>
      </c>
      <c r="F216" s="2" t="s">
        <v>1152</v>
      </c>
      <c r="G216" s="1" t="s">
        <v>24</v>
      </c>
      <c r="J216" s="1" t="s">
        <v>1199</v>
      </c>
      <c r="K216" s="1" t="s">
        <v>181</v>
      </c>
      <c r="L216" s="1" t="s">
        <v>1200</v>
      </c>
      <c r="M216" s="1" t="s">
        <v>183</v>
      </c>
      <c r="N216" s="1" t="s">
        <v>1201</v>
      </c>
      <c r="O216" s="1" t="s">
        <v>39</v>
      </c>
      <c r="P216" s="4">
        <v>13.76</v>
      </c>
      <c r="Q216" s="5">
        <f t="shared" si="9"/>
        <v>16.512</v>
      </c>
      <c r="R216" s="4">
        <v>17.2</v>
      </c>
      <c r="S216" s="5">
        <f t="shared" si="10"/>
        <v>20.639999999999997</v>
      </c>
      <c r="T216" s="4">
        <v>20.64</v>
      </c>
      <c r="U216" s="5">
        <f t="shared" si="11"/>
        <v>24.768000000000001</v>
      </c>
      <c r="V216" s="1" t="s">
        <v>31</v>
      </c>
    </row>
    <row r="217" spans="1:22" x14ac:dyDescent="0.2">
      <c r="A217" s="1">
        <v>3319635</v>
      </c>
      <c r="B217" s="1" t="s">
        <v>1202</v>
      </c>
      <c r="C217" s="1" t="str">
        <f>"9788024618968"</f>
        <v>9788024618968</v>
      </c>
      <c r="D217" s="1" t="str">
        <f>"9788024623719"</f>
        <v>9788024623719</v>
      </c>
      <c r="E217" s="2" t="s">
        <v>77</v>
      </c>
      <c r="F217" s="2" t="s">
        <v>1152</v>
      </c>
      <c r="G217" s="1" t="s">
        <v>24</v>
      </c>
      <c r="J217" s="1" t="s">
        <v>1203</v>
      </c>
      <c r="K217" s="1" t="s">
        <v>260</v>
      </c>
      <c r="L217" s="1" t="s">
        <v>1204</v>
      </c>
      <c r="M217" s="1" t="s">
        <v>1205</v>
      </c>
      <c r="N217" s="1" t="s">
        <v>1206</v>
      </c>
      <c r="O217" s="1" t="s">
        <v>39</v>
      </c>
      <c r="P217" s="4">
        <v>13.76</v>
      </c>
      <c r="Q217" s="5">
        <f t="shared" si="9"/>
        <v>16.512</v>
      </c>
      <c r="R217" s="4">
        <v>17.2</v>
      </c>
      <c r="S217" s="5">
        <f t="shared" si="10"/>
        <v>20.639999999999997</v>
      </c>
      <c r="T217" s="4">
        <v>20.64</v>
      </c>
      <c r="U217" s="5">
        <f t="shared" si="11"/>
        <v>24.768000000000001</v>
      </c>
      <c r="V217" s="1" t="s">
        <v>31</v>
      </c>
    </row>
    <row r="218" spans="1:22" x14ac:dyDescent="0.2">
      <c r="A218" s="1">
        <v>3319639</v>
      </c>
      <c r="B218" s="1" t="s">
        <v>1207</v>
      </c>
      <c r="C218" s="1" t="str">
        <f>"9788024615363"</f>
        <v>9788024615363</v>
      </c>
      <c r="D218" s="1" t="str">
        <f>"9788024623580"</f>
        <v>9788024623580</v>
      </c>
      <c r="E218" s="2" t="s">
        <v>1173</v>
      </c>
      <c r="F218" s="2" t="s">
        <v>1152</v>
      </c>
      <c r="G218" s="1" t="s">
        <v>24</v>
      </c>
      <c r="J218" s="1" t="s">
        <v>1183</v>
      </c>
      <c r="K218" s="1" t="s">
        <v>138</v>
      </c>
      <c r="L218" s="1" t="s">
        <v>1208</v>
      </c>
      <c r="M218" s="1" t="s">
        <v>1209</v>
      </c>
      <c r="N218" s="1" t="s">
        <v>1210</v>
      </c>
      <c r="O218" s="1" t="s">
        <v>39</v>
      </c>
      <c r="P218" s="4">
        <v>20.18</v>
      </c>
      <c r="Q218" s="5">
        <f t="shared" si="9"/>
        <v>24.215999999999998</v>
      </c>
      <c r="R218" s="4">
        <v>25.23</v>
      </c>
      <c r="S218" s="5">
        <f t="shared" si="10"/>
        <v>30.276</v>
      </c>
      <c r="T218" s="4">
        <v>30.28</v>
      </c>
      <c r="U218" s="5">
        <f t="shared" si="11"/>
        <v>36.335999999999999</v>
      </c>
      <c r="V218" s="1" t="s">
        <v>31</v>
      </c>
    </row>
    <row r="219" spans="1:22" x14ac:dyDescent="0.2">
      <c r="A219" s="1">
        <v>3319644</v>
      </c>
      <c r="B219" s="1" t="s">
        <v>1211</v>
      </c>
      <c r="C219" s="1" t="str">
        <f>"9788024622989"</f>
        <v>9788024622989</v>
      </c>
      <c r="D219" s="1" t="str">
        <f>"9788024623009"</f>
        <v>9788024623009</v>
      </c>
      <c r="E219" s="2" t="s">
        <v>575</v>
      </c>
      <c r="F219" s="2" t="s">
        <v>1152</v>
      </c>
      <c r="G219" s="1" t="s">
        <v>24</v>
      </c>
      <c r="J219" s="1" t="s">
        <v>1212</v>
      </c>
      <c r="K219" s="1" t="s">
        <v>260</v>
      </c>
      <c r="L219" s="1" t="s">
        <v>1213</v>
      </c>
      <c r="M219" s="1" t="s">
        <v>1214</v>
      </c>
      <c r="N219" s="1" t="s">
        <v>1215</v>
      </c>
      <c r="O219" s="1" t="s">
        <v>39</v>
      </c>
      <c r="P219" s="4">
        <v>13.76</v>
      </c>
      <c r="Q219" s="5">
        <f t="shared" si="9"/>
        <v>16.512</v>
      </c>
      <c r="R219" s="4">
        <v>17.2</v>
      </c>
      <c r="S219" s="5">
        <f t="shared" si="10"/>
        <v>20.639999999999997</v>
      </c>
      <c r="T219" s="4">
        <v>20.64</v>
      </c>
      <c r="U219" s="5">
        <f t="shared" si="11"/>
        <v>24.768000000000001</v>
      </c>
      <c r="V219" s="1" t="s">
        <v>31</v>
      </c>
    </row>
    <row r="220" spans="1:22" x14ac:dyDescent="0.2">
      <c r="A220" s="1">
        <v>3319655</v>
      </c>
      <c r="B220" s="1" t="s">
        <v>1216</v>
      </c>
      <c r="C220" s="1" t="str">
        <f>"9788024614960"</f>
        <v>9788024614960</v>
      </c>
      <c r="D220" s="1" t="str">
        <f>"9788024623504"</f>
        <v>9788024623504</v>
      </c>
      <c r="E220" s="2" t="s">
        <v>1217</v>
      </c>
      <c r="F220" s="2" t="s">
        <v>1152</v>
      </c>
      <c r="G220" s="1" t="s">
        <v>24</v>
      </c>
      <c r="J220" s="1" t="s">
        <v>340</v>
      </c>
      <c r="K220" s="1" t="s">
        <v>1218</v>
      </c>
      <c r="L220" s="1" t="s">
        <v>1219</v>
      </c>
      <c r="M220" s="1" t="s">
        <v>1220</v>
      </c>
      <c r="N220" s="1" t="s">
        <v>1221</v>
      </c>
      <c r="O220" s="1" t="s">
        <v>39</v>
      </c>
      <c r="P220" s="4">
        <v>13.76</v>
      </c>
      <c r="Q220" s="5">
        <f t="shared" si="9"/>
        <v>16.512</v>
      </c>
      <c r="R220" s="4">
        <v>17.2</v>
      </c>
      <c r="S220" s="5">
        <f t="shared" si="10"/>
        <v>20.639999999999997</v>
      </c>
      <c r="T220" s="4">
        <v>20.64</v>
      </c>
      <c r="U220" s="5">
        <f t="shared" si="11"/>
        <v>24.768000000000001</v>
      </c>
      <c r="V220" s="1" t="s">
        <v>31</v>
      </c>
    </row>
    <row r="221" spans="1:22" x14ac:dyDescent="0.2">
      <c r="A221" s="1">
        <v>3319657</v>
      </c>
      <c r="B221" s="1" t="s">
        <v>1222</v>
      </c>
      <c r="C221" s="1" t="str">
        <f>"9788024620428"</f>
        <v>9788024620428</v>
      </c>
      <c r="D221" s="1" t="str">
        <f>"9788024623542"</f>
        <v>9788024623542</v>
      </c>
      <c r="E221" s="2" t="s">
        <v>62</v>
      </c>
      <c r="F221" s="2" t="s">
        <v>1152</v>
      </c>
      <c r="G221" s="1" t="s">
        <v>24</v>
      </c>
      <c r="J221" s="1" t="s">
        <v>340</v>
      </c>
      <c r="K221" s="1" t="s">
        <v>1223</v>
      </c>
      <c r="L221" s="1" t="s">
        <v>1224</v>
      </c>
      <c r="M221" s="1" t="s">
        <v>1225</v>
      </c>
      <c r="N221" s="1" t="s">
        <v>1226</v>
      </c>
      <c r="O221" s="1" t="s">
        <v>39</v>
      </c>
      <c r="P221" s="4">
        <v>13.76</v>
      </c>
      <c r="Q221" s="5">
        <f t="shared" si="9"/>
        <v>16.512</v>
      </c>
      <c r="R221" s="4">
        <v>17.2</v>
      </c>
      <c r="S221" s="5">
        <f t="shared" si="10"/>
        <v>20.639999999999997</v>
      </c>
      <c r="T221" s="4">
        <v>20.64</v>
      </c>
      <c r="U221" s="5">
        <f t="shared" si="11"/>
        <v>24.768000000000001</v>
      </c>
      <c r="V221" s="1" t="s">
        <v>31</v>
      </c>
    </row>
    <row r="222" spans="1:22" x14ac:dyDescent="0.2">
      <c r="A222" s="1">
        <v>3319658</v>
      </c>
      <c r="B222" s="1" t="s">
        <v>1227</v>
      </c>
      <c r="C222" s="1" t="str">
        <f>"9788024623993"</f>
        <v>9788024623993</v>
      </c>
      <c r="D222" s="1" t="str">
        <f>"9788024624303"</f>
        <v>9788024624303</v>
      </c>
      <c r="E222" s="2" t="s">
        <v>41</v>
      </c>
      <c r="F222" s="2" t="s">
        <v>1152</v>
      </c>
      <c r="G222" s="1" t="s">
        <v>24</v>
      </c>
      <c r="J222" s="1" t="s">
        <v>1228</v>
      </c>
      <c r="K222" s="1" t="s">
        <v>341</v>
      </c>
      <c r="L222" s="1" t="s">
        <v>1229</v>
      </c>
      <c r="N222" s="1" t="s">
        <v>1230</v>
      </c>
      <c r="O222" s="1" t="s">
        <v>754</v>
      </c>
      <c r="P222" s="4">
        <v>13.76</v>
      </c>
      <c r="Q222" s="5">
        <f t="shared" si="9"/>
        <v>16.512</v>
      </c>
      <c r="R222" s="4">
        <v>17.2</v>
      </c>
      <c r="S222" s="5">
        <f t="shared" si="10"/>
        <v>20.639999999999997</v>
      </c>
      <c r="T222" s="4">
        <v>20.64</v>
      </c>
      <c r="U222" s="5">
        <f t="shared" si="11"/>
        <v>24.768000000000001</v>
      </c>
      <c r="V222" s="1" t="s">
        <v>31</v>
      </c>
    </row>
    <row r="223" spans="1:22" x14ac:dyDescent="0.2">
      <c r="A223" s="1">
        <v>3319661</v>
      </c>
      <c r="B223" s="1" t="s">
        <v>1231</v>
      </c>
      <c r="C223" s="1" t="str">
        <f>"9788024623429"</f>
        <v>9788024623429</v>
      </c>
      <c r="D223" s="1" t="str">
        <f>"9788024623689"</f>
        <v>9788024623689</v>
      </c>
      <c r="E223" s="2" t="s">
        <v>233</v>
      </c>
      <c r="F223" s="2" t="s">
        <v>1152</v>
      </c>
      <c r="G223" s="1" t="s">
        <v>24</v>
      </c>
      <c r="J223" s="1" t="s">
        <v>1232</v>
      </c>
      <c r="K223" s="1" t="s">
        <v>64</v>
      </c>
      <c r="L223" s="1" t="s">
        <v>1233</v>
      </c>
      <c r="M223" s="1" t="s">
        <v>1234</v>
      </c>
      <c r="N223" s="1" t="s">
        <v>1235</v>
      </c>
      <c r="O223" s="1" t="s">
        <v>39</v>
      </c>
      <c r="P223" s="4">
        <v>13.76</v>
      </c>
      <c r="Q223" s="5">
        <f t="shared" si="9"/>
        <v>16.512</v>
      </c>
      <c r="R223" s="4">
        <v>17.2</v>
      </c>
      <c r="S223" s="5">
        <f t="shared" si="10"/>
        <v>20.639999999999997</v>
      </c>
      <c r="T223" s="4">
        <v>20.64</v>
      </c>
      <c r="U223" s="5">
        <f t="shared" si="11"/>
        <v>24.768000000000001</v>
      </c>
      <c r="V223" s="1" t="s">
        <v>31</v>
      </c>
    </row>
    <row r="224" spans="1:22" x14ac:dyDescent="0.2">
      <c r="A224" s="1">
        <v>3319663</v>
      </c>
      <c r="B224" s="1" t="s">
        <v>1236</v>
      </c>
      <c r="C224" s="1" t="str">
        <f>"9788024619002"</f>
        <v>9788024619002</v>
      </c>
      <c r="D224" s="1" t="str">
        <f>"9788024625089"</f>
        <v>9788024625089</v>
      </c>
      <c r="E224" s="2" t="s">
        <v>253</v>
      </c>
      <c r="F224" s="2" t="s">
        <v>1152</v>
      </c>
      <c r="G224" s="1" t="s">
        <v>24</v>
      </c>
      <c r="J224" s="1" t="s">
        <v>1237</v>
      </c>
      <c r="K224" s="1" t="s">
        <v>248</v>
      </c>
      <c r="L224" s="1" t="s">
        <v>1238</v>
      </c>
      <c r="M224" s="1" t="s">
        <v>1239</v>
      </c>
      <c r="N224" s="1" t="s">
        <v>1240</v>
      </c>
      <c r="O224" s="1" t="s">
        <v>39</v>
      </c>
      <c r="P224" s="4">
        <v>13.76</v>
      </c>
      <c r="Q224" s="5">
        <f t="shared" si="9"/>
        <v>16.512</v>
      </c>
      <c r="R224" s="4">
        <v>17.2</v>
      </c>
      <c r="S224" s="5">
        <f t="shared" si="10"/>
        <v>20.639999999999997</v>
      </c>
      <c r="T224" s="4">
        <v>20.64</v>
      </c>
      <c r="U224" s="5">
        <f t="shared" si="11"/>
        <v>24.768000000000001</v>
      </c>
      <c r="V224" s="1" t="s">
        <v>31</v>
      </c>
    </row>
    <row r="225" spans="1:22" x14ac:dyDescent="0.2">
      <c r="A225" s="1">
        <v>3319674</v>
      </c>
      <c r="B225" s="1" t="s">
        <v>1241</v>
      </c>
      <c r="C225" s="1" t="str">
        <f>"9788024622453"</f>
        <v>9788024622453</v>
      </c>
      <c r="D225" s="1" t="str">
        <f>"9788024624471"</f>
        <v>9788024624471</v>
      </c>
      <c r="E225" s="2" t="s">
        <v>240</v>
      </c>
      <c r="F225" s="2" t="s">
        <v>1152</v>
      </c>
      <c r="G225" s="1" t="s">
        <v>24</v>
      </c>
      <c r="J225" s="1" t="s">
        <v>1242</v>
      </c>
      <c r="K225" s="1" t="s">
        <v>412</v>
      </c>
      <c r="L225" s="1" t="s">
        <v>1243</v>
      </c>
      <c r="M225" s="1" t="s">
        <v>1244</v>
      </c>
      <c r="N225" s="1" t="s">
        <v>1245</v>
      </c>
      <c r="O225" s="1" t="s">
        <v>39</v>
      </c>
      <c r="P225" s="4">
        <v>13.76</v>
      </c>
      <c r="Q225" s="5">
        <f t="shared" si="9"/>
        <v>16.512</v>
      </c>
      <c r="R225" s="4">
        <v>17.2</v>
      </c>
      <c r="S225" s="5">
        <f t="shared" si="10"/>
        <v>20.639999999999997</v>
      </c>
      <c r="T225" s="4">
        <v>20.64</v>
      </c>
      <c r="U225" s="5">
        <f t="shared" si="11"/>
        <v>24.768000000000001</v>
      </c>
      <c r="V225" s="1" t="s">
        <v>31</v>
      </c>
    </row>
    <row r="226" spans="1:22" x14ac:dyDescent="0.2">
      <c r="A226" s="1">
        <v>3319676</v>
      </c>
      <c r="B226" s="1" t="s">
        <v>1246</v>
      </c>
      <c r="C226" s="1" t="str">
        <f>"9788024622491"</f>
        <v>9788024622491</v>
      </c>
      <c r="D226" s="1" t="str">
        <f>"9788024623931"</f>
        <v>9788024623931</v>
      </c>
      <c r="E226" s="2" t="s">
        <v>517</v>
      </c>
      <c r="F226" s="2" t="s">
        <v>1152</v>
      </c>
      <c r="G226" s="1" t="s">
        <v>24</v>
      </c>
      <c r="J226" s="1" t="s">
        <v>340</v>
      </c>
      <c r="K226" s="1" t="s">
        <v>321</v>
      </c>
      <c r="L226" s="1" t="s">
        <v>1247</v>
      </c>
      <c r="M226" s="1" t="s">
        <v>203</v>
      </c>
      <c r="N226" s="1" t="s">
        <v>1248</v>
      </c>
      <c r="O226" s="1" t="s">
        <v>39</v>
      </c>
      <c r="P226" s="4">
        <v>13.76</v>
      </c>
      <c r="Q226" s="5">
        <f t="shared" si="9"/>
        <v>16.512</v>
      </c>
      <c r="R226" s="4">
        <v>17.2</v>
      </c>
      <c r="S226" s="5">
        <f t="shared" si="10"/>
        <v>20.639999999999997</v>
      </c>
      <c r="T226" s="4">
        <v>20.64</v>
      </c>
      <c r="U226" s="5">
        <f t="shared" si="11"/>
        <v>24.768000000000001</v>
      </c>
      <c r="V226" s="1" t="s">
        <v>31</v>
      </c>
    </row>
    <row r="227" spans="1:22" x14ac:dyDescent="0.2">
      <c r="A227" s="1">
        <v>3319678</v>
      </c>
      <c r="B227" s="1" t="s">
        <v>1249</v>
      </c>
      <c r="C227" s="1" t="str">
        <f>"9788024620930"</f>
        <v>9788024620930</v>
      </c>
      <c r="D227" s="1" t="str">
        <f>"9788024624877"</f>
        <v>9788024624877</v>
      </c>
      <c r="E227" s="2" t="s">
        <v>580</v>
      </c>
      <c r="F227" s="2" t="s">
        <v>1152</v>
      </c>
      <c r="G227" s="1" t="s">
        <v>24</v>
      </c>
      <c r="J227" s="1" t="s">
        <v>1250</v>
      </c>
      <c r="K227" s="1" t="s">
        <v>36</v>
      </c>
      <c r="L227" s="1" t="s">
        <v>1251</v>
      </c>
      <c r="M227" s="1" t="s">
        <v>1252</v>
      </c>
      <c r="N227" s="1" t="s">
        <v>1253</v>
      </c>
      <c r="O227" s="1" t="s">
        <v>39</v>
      </c>
      <c r="P227" s="4">
        <v>13.76</v>
      </c>
      <c r="Q227" s="5">
        <f t="shared" si="9"/>
        <v>16.512</v>
      </c>
      <c r="R227" s="4">
        <v>17.2</v>
      </c>
      <c r="S227" s="5">
        <f t="shared" si="10"/>
        <v>20.639999999999997</v>
      </c>
      <c r="T227" s="4">
        <v>20.64</v>
      </c>
      <c r="U227" s="5">
        <f t="shared" si="11"/>
        <v>24.768000000000001</v>
      </c>
      <c r="V227" s="1" t="s">
        <v>31</v>
      </c>
    </row>
    <row r="228" spans="1:22" x14ac:dyDescent="0.2">
      <c r="A228" s="1">
        <v>3319679</v>
      </c>
      <c r="B228" s="1" t="s">
        <v>1254</v>
      </c>
      <c r="C228" s="1" t="str">
        <f>"9788024622590"</f>
        <v>9788024622590</v>
      </c>
      <c r="D228" s="1" t="str">
        <f>"9788024624938"</f>
        <v>9788024624938</v>
      </c>
      <c r="E228" s="2" t="s">
        <v>233</v>
      </c>
      <c r="F228" s="2" t="s">
        <v>1152</v>
      </c>
      <c r="G228" s="1" t="s">
        <v>24</v>
      </c>
      <c r="J228" s="1" t="s">
        <v>1255</v>
      </c>
      <c r="K228" s="1" t="s">
        <v>399</v>
      </c>
      <c r="L228" s="1" t="s">
        <v>1256</v>
      </c>
      <c r="M228" s="1" t="s">
        <v>401</v>
      </c>
      <c r="N228" s="1" t="s">
        <v>1257</v>
      </c>
      <c r="O228" s="1" t="s">
        <v>39</v>
      </c>
      <c r="P228" s="4">
        <v>13.76</v>
      </c>
      <c r="Q228" s="5">
        <f t="shared" si="9"/>
        <v>16.512</v>
      </c>
      <c r="R228" s="4">
        <v>17.2</v>
      </c>
      <c r="S228" s="5">
        <f t="shared" si="10"/>
        <v>20.639999999999997</v>
      </c>
      <c r="T228" s="4">
        <v>20.64</v>
      </c>
      <c r="U228" s="5">
        <f t="shared" si="11"/>
        <v>24.768000000000001</v>
      </c>
      <c r="V228" s="1" t="s">
        <v>31</v>
      </c>
    </row>
    <row r="229" spans="1:22" x14ac:dyDescent="0.2">
      <c r="A229" s="1">
        <v>3319684</v>
      </c>
      <c r="B229" s="1" t="s">
        <v>1258</v>
      </c>
      <c r="C229" s="1" t="str">
        <f>"9788024623351"</f>
        <v>9788024623351</v>
      </c>
      <c r="D229" s="1" t="str">
        <f>"9788024625300"</f>
        <v>9788024625300</v>
      </c>
      <c r="E229" s="2" t="s">
        <v>22</v>
      </c>
      <c r="F229" s="2" t="s">
        <v>1259</v>
      </c>
      <c r="G229" s="1" t="s">
        <v>24</v>
      </c>
      <c r="J229" s="1" t="s">
        <v>1260</v>
      </c>
      <c r="K229" s="1" t="s">
        <v>260</v>
      </c>
      <c r="L229" s="1" t="s">
        <v>1261</v>
      </c>
      <c r="M229" s="1" t="s">
        <v>1262</v>
      </c>
      <c r="N229" s="1" t="s">
        <v>1263</v>
      </c>
      <c r="O229" s="1" t="s">
        <v>39</v>
      </c>
      <c r="P229" s="4">
        <v>17.43</v>
      </c>
      <c r="Q229" s="5">
        <f t="shared" si="9"/>
        <v>20.916</v>
      </c>
      <c r="R229" s="4">
        <v>21.79</v>
      </c>
      <c r="S229" s="5">
        <f t="shared" si="10"/>
        <v>26.148</v>
      </c>
      <c r="T229" s="4">
        <v>26.15</v>
      </c>
      <c r="U229" s="5">
        <f t="shared" si="11"/>
        <v>31.379999999999995</v>
      </c>
      <c r="V229" s="1" t="s">
        <v>31</v>
      </c>
    </row>
    <row r="230" spans="1:22" x14ac:dyDescent="0.2">
      <c r="A230" s="1">
        <v>3319689</v>
      </c>
      <c r="B230" s="1" t="s">
        <v>1264</v>
      </c>
      <c r="C230" s="1" t="str">
        <f>"9788024622842"</f>
        <v>9788024622842</v>
      </c>
      <c r="D230" s="1" t="str">
        <f>"9788024623092"</f>
        <v>9788024623092</v>
      </c>
      <c r="E230" s="2" t="s">
        <v>580</v>
      </c>
      <c r="F230" s="2" t="s">
        <v>1259</v>
      </c>
      <c r="G230" s="1" t="s">
        <v>24</v>
      </c>
      <c r="J230" s="1" t="s">
        <v>1265</v>
      </c>
      <c r="K230" s="1" t="s">
        <v>150</v>
      </c>
      <c r="L230" s="1" t="s">
        <v>1266</v>
      </c>
      <c r="M230" s="1" t="s">
        <v>1165</v>
      </c>
      <c r="N230" s="1" t="s">
        <v>1267</v>
      </c>
      <c r="O230" s="1" t="s">
        <v>39</v>
      </c>
      <c r="P230" s="4">
        <v>15.6</v>
      </c>
      <c r="Q230" s="5">
        <f t="shared" si="9"/>
        <v>18.72</v>
      </c>
      <c r="R230" s="4">
        <v>19.5</v>
      </c>
      <c r="S230" s="5">
        <f t="shared" si="10"/>
        <v>23.4</v>
      </c>
      <c r="T230" s="4">
        <v>23.39</v>
      </c>
      <c r="U230" s="5">
        <f t="shared" si="11"/>
        <v>28.068000000000001</v>
      </c>
      <c r="V230" s="1" t="s">
        <v>31</v>
      </c>
    </row>
    <row r="231" spans="1:22" x14ac:dyDescent="0.2">
      <c r="A231" s="1">
        <v>3319696</v>
      </c>
      <c r="B231" s="1" t="s">
        <v>1268</v>
      </c>
      <c r="C231" s="1" t="str">
        <f>""</f>
        <v/>
      </c>
      <c r="D231" s="1" t="str">
        <f>"9788024624433"</f>
        <v>9788024624433</v>
      </c>
      <c r="E231" s="2" t="s">
        <v>22</v>
      </c>
      <c r="F231" s="2" t="s">
        <v>1259</v>
      </c>
      <c r="G231" s="1" t="s">
        <v>24</v>
      </c>
      <c r="J231" s="1" t="s">
        <v>1269</v>
      </c>
      <c r="K231" s="1" t="s">
        <v>1270</v>
      </c>
      <c r="L231" s="1" t="s">
        <v>1271</v>
      </c>
      <c r="M231" s="1" t="s">
        <v>1272</v>
      </c>
      <c r="N231" s="1" t="s">
        <v>1273</v>
      </c>
      <c r="O231" s="1" t="s">
        <v>39</v>
      </c>
      <c r="P231" s="4">
        <v>13.76</v>
      </c>
      <c r="Q231" s="5">
        <f t="shared" si="9"/>
        <v>16.512</v>
      </c>
      <c r="R231" s="4">
        <v>17.2</v>
      </c>
      <c r="S231" s="5">
        <f t="shared" si="10"/>
        <v>20.639999999999997</v>
      </c>
      <c r="T231" s="4">
        <v>20.64</v>
      </c>
      <c r="U231" s="5">
        <f t="shared" si="11"/>
        <v>24.768000000000001</v>
      </c>
      <c r="V231" s="1" t="s">
        <v>31</v>
      </c>
    </row>
    <row r="232" spans="1:22" x14ac:dyDescent="0.2">
      <c r="A232" s="1">
        <v>3319701</v>
      </c>
      <c r="B232" s="1" t="s">
        <v>1274</v>
      </c>
      <c r="C232" s="1" t="str">
        <f>"9788024622217"</f>
        <v>9788024622217</v>
      </c>
      <c r="D232" s="1" t="str">
        <f>"9788024625652"</f>
        <v>9788024625652</v>
      </c>
      <c r="E232" s="2" t="s">
        <v>206</v>
      </c>
      <c r="F232" s="2" t="s">
        <v>1275</v>
      </c>
      <c r="G232" s="1" t="s">
        <v>24</v>
      </c>
      <c r="J232" s="1" t="s">
        <v>1276</v>
      </c>
      <c r="K232" s="1" t="s">
        <v>79</v>
      </c>
      <c r="L232" s="1" t="s">
        <v>1277</v>
      </c>
      <c r="M232" s="1">
        <v>415</v>
      </c>
      <c r="N232" s="1" t="s">
        <v>1278</v>
      </c>
      <c r="O232" s="1" t="s">
        <v>39</v>
      </c>
      <c r="P232" s="4">
        <v>13.76</v>
      </c>
      <c r="Q232" s="5">
        <f t="shared" si="9"/>
        <v>16.512</v>
      </c>
      <c r="R232" s="4">
        <v>17.2</v>
      </c>
      <c r="S232" s="5">
        <f t="shared" si="10"/>
        <v>20.639999999999997</v>
      </c>
      <c r="T232" s="4">
        <v>20.64</v>
      </c>
      <c r="U232" s="5">
        <f t="shared" si="11"/>
        <v>24.768000000000001</v>
      </c>
      <c r="V232" s="1" t="s">
        <v>31</v>
      </c>
    </row>
    <row r="233" spans="1:22" x14ac:dyDescent="0.2">
      <c r="A233" s="1">
        <v>3319724</v>
      </c>
      <c r="B233" s="1" t="s">
        <v>1279</v>
      </c>
      <c r="C233" s="1" t="str">
        <f>"9788024623153"</f>
        <v>9788024623153</v>
      </c>
      <c r="D233" s="1" t="str">
        <f>"9788024623535"</f>
        <v>9788024623535</v>
      </c>
      <c r="E233" s="2" t="s">
        <v>1280</v>
      </c>
      <c r="F233" s="2" t="s">
        <v>1281</v>
      </c>
      <c r="G233" s="1" t="s">
        <v>24</v>
      </c>
      <c r="H233" s="1">
        <v>2</v>
      </c>
      <c r="J233" s="1" t="s">
        <v>1282</v>
      </c>
      <c r="K233" s="1" t="s">
        <v>50</v>
      </c>
      <c r="L233" s="1" t="s">
        <v>1283</v>
      </c>
      <c r="M233" s="1" t="s">
        <v>1284</v>
      </c>
      <c r="N233" s="1" t="s">
        <v>1285</v>
      </c>
      <c r="O233" s="1" t="s">
        <v>30</v>
      </c>
      <c r="P233" s="4">
        <v>13.76</v>
      </c>
      <c r="Q233" s="5">
        <f t="shared" si="9"/>
        <v>16.512</v>
      </c>
      <c r="R233" s="4">
        <v>17.2</v>
      </c>
      <c r="S233" s="5">
        <f t="shared" si="10"/>
        <v>20.639999999999997</v>
      </c>
      <c r="T233" s="4">
        <v>20.64</v>
      </c>
      <c r="U233" s="5">
        <f t="shared" si="11"/>
        <v>24.768000000000001</v>
      </c>
      <c r="V233" s="1" t="s">
        <v>31</v>
      </c>
    </row>
    <row r="234" spans="1:22" x14ac:dyDescent="0.2">
      <c r="A234" s="1">
        <v>3319725</v>
      </c>
      <c r="B234" s="1" t="s">
        <v>1286</v>
      </c>
      <c r="C234" s="1" t="str">
        <f>"9788024625195"</f>
        <v>9788024625195</v>
      </c>
      <c r="D234" s="1" t="str">
        <f>"9788024625867"</f>
        <v>9788024625867</v>
      </c>
      <c r="E234" s="2" t="s">
        <v>84</v>
      </c>
      <c r="F234" s="2" t="s">
        <v>1281</v>
      </c>
      <c r="G234" s="1" t="s">
        <v>24</v>
      </c>
      <c r="J234" s="1" t="s">
        <v>364</v>
      </c>
      <c r="K234" s="1" t="s">
        <v>150</v>
      </c>
      <c r="L234" s="1" t="s">
        <v>1287</v>
      </c>
      <c r="M234" s="1">
        <v>233</v>
      </c>
      <c r="N234" s="1" t="s">
        <v>1288</v>
      </c>
      <c r="O234" s="1" t="s">
        <v>30</v>
      </c>
      <c r="P234" s="4">
        <v>13.76</v>
      </c>
      <c r="Q234" s="5">
        <f t="shared" si="9"/>
        <v>16.512</v>
      </c>
      <c r="R234" s="4">
        <v>17.2</v>
      </c>
      <c r="S234" s="5">
        <f t="shared" si="10"/>
        <v>20.639999999999997</v>
      </c>
      <c r="T234" s="4">
        <v>20.64</v>
      </c>
      <c r="U234" s="5">
        <f t="shared" si="11"/>
        <v>24.768000000000001</v>
      </c>
      <c r="V234" s="1" t="s">
        <v>31</v>
      </c>
    </row>
    <row r="235" spans="1:22" x14ac:dyDescent="0.2">
      <c r="A235" s="1">
        <v>3319728</v>
      </c>
      <c r="B235" s="1" t="s">
        <v>1289</v>
      </c>
      <c r="C235" s="1" t="str">
        <f>"9788024621357"</f>
        <v>9788024621357</v>
      </c>
      <c r="D235" s="1" t="str">
        <f>"9788024626567"</f>
        <v>9788024626567</v>
      </c>
      <c r="E235" s="2" t="s">
        <v>275</v>
      </c>
      <c r="F235" s="2" t="s">
        <v>1290</v>
      </c>
      <c r="G235" s="1" t="s">
        <v>24</v>
      </c>
      <c r="J235" s="1" t="s">
        <v>1291</v>
      </c>
      <c r="K235" s="1" t="s">
        <v>833</v>
      </c>
      <c r="L235" s="1" t="s">
        <v>1292</v>
      </c>
      <c r="M235" s="1">
        <v>540</v>
      </c>
      <c r="N235" s="1" t="s">
        <v>1293</v>
      </c>
      <c r="O235" s="1" t="s">
        <v>39</v>
      </c>
      <c r="P235" s="4">
        <v>13.76</v>
      </c>
      <c r="Q235" s="5">
        <f t="shared" si="9"/>
        <v>16.512</v>
      </c>
      <c r="R235" s="4">
        <v>17.2</v>
      </c>
      <c r="S235" s="5">
        <f t="shared" si="10"/>
        <v>20.639999999999997</v>
      </c>
      <c r="T235" s="4">
        <v>20.64</v>
      </c>
      <c r="U235" s="5">
        <f t="shared" si="11"/>
        <v>24.768000000000001</v>
      </c>
      <c r="V235" s="1" t="s">
        <v>31</v>
      </c>
    </row>
    <row r="236" spans="1:22" x14ac:dyDescent="0.2">
      <c r="A236" s="1">
        <v>3319734</v>
      </c>
      <c r="B236" s="1" t="s">
        <v>1294</v>
      </c>
      <c r="C236" s="1" t="str">
        <f>"9788024620664"</f>
        <v>9788024620664</v>
      </c>
      <c r="D236" s="1" t="str">
        <f>"9788024627151"</f>
        <v>9788024627151</v>
      </c>
      <c r="E236" s="2" t="s">
        <v>240</v>
      </c>
      <c r="F236" s="2" t="s">
        <v>1290</v>
      </c>
      <c r="G236" s="1" t="s">
        <v>24</v>
      </c>
      <c r="J236" s="1" t="s">
        <v>1295</v>
      </c>
      <c r="K236" s="1" t="s">
        <v>111</v>
      </c>
      <c r="L236" s="1" t="s">
        <v>1296</v>
      </c>
      <c r="M236" s="1" t="s">
        <v>474</v>
      </c>
      <c r="N236" s="1" t="s">
        <v>1297</v>
      </c>
      <c r="O236" s="1" t="s">
        <v>39</v>
      </c>
      <c r="P236" s="4">
        <v>13.76</v>
      </c>
      <c r="Q236" s="5">
        <f t="shared" si="9"/>
        <v>16.512</v>
      </c>
      <c r="R236" s="4">
        <v>17.2</v>
      </c>
      <c r="S236" s="5">
        <f t="shared" si="10"/>
        <v>20.639999999999997</v>
      </c>
      <c r="T236" s="4">
        <v>20.64</v>
      </c>
      <c r="U236" s="5">
        <f t="shared" si="11"/>
        <v>24.768000000000001</v>
      </c>
      <c r="V236" s="1" t="s">
        <v>31</v>
      </c>
    </row>
    <row r="237" spans="1:22" x14ac:dyDescent="0.2">
      <c r="A237" s="1">
        <v>3319749</v>
      </c>
      <c r="B237" s="1" t="s">
        <v>1298</v>
      </c>
      <c r="C237" s="1" t="str">
        <f>"9788024621746"</f>
        <v>9788024621746</v>
      </c>
      <c r="D237" s="1" t="str">
        <f>"9788024627540"</f>
        <v>9788024627540</v>
      </c>
      <c r="E237" s="2" t="s">
        <v>575</v>
      </c>
      <c r="F237" s="2" t="s">
        <v>1290</v>
      </c>
      <c r="G237" s="1" t="s">
        <v>24</v>
      </c>
      <c r="J237" s="1" t="s">
        <v>1299</v>
      </c>
      <c r="K237" s="1" t="s">
        <v>150</v>
      </c>
      <c r="L237" s="1" t="s">
        <v>1300</v>
      </c>
      <c r="M237" s="1" t="s">
        <v>1301</v>
      </c>
      <c r="N237" s="1" t="s">
        <v>1302</v>
      </c>
      <c r="O237" s="1" t="s">
        <v>39</v>
      </c>
      <c r="P237" s="4">
        <v>14.68</v>
      </c>
      <c r="Q237" s="5">
        <f t="shared" si="9"/>
        <v>17.616</v>
      </c>
      <c r="R237" s="4">
        <v>18.350000000000001</v>
      </c>
      <c r="S237" s="5">
        <f t="shared" si="10"/>
        <v>22.02</v>
      </c>
      <c r="T237" s="4">
        <v>22.02</v>
      </c>
      <c r="U237" s="5">
        <f t="shared" si="11"/>
        <v>26.423999999999999</v>
      </c>
      <c r="V237" s="1" t="s">
        <v>31</v>
      </c>
    </row>
    <row r="238" spans="1:22" x14ac:dyDescent="0.2">
      <c r="A238" s="1">
        <v>3319752</v>
      </c>
      <c r="B238" s="1" t="s">
        <v>1303</v>
      </c>
      <c r="C238" s="1" t="str">
        <f>"9788024622422"</f>
        <v>9788024622422</v>
      </c>
      <c r="D238" s="1" t="str">
        <f>"9788024626574"</f>
        <v>9788024626574</v>
      </c>
      <c r="E238" s="2" t="s">
        <v>580</v>
      </c>
      <c r="F238" s="2" t="s">
        <v>1290</v>
      </c>
      <c r="G238" s="1" t="s">
        <v>24</v>
      </c>
      <c r="H238" s="1">
        <v>3</v>
      </c>
      <c r="J238" s="1" t="s">
        <v>1291</v>
      </c>
      <c r="K238" s="1" t="s">
        <v>833</v>
      </c>
      <c r="L238" s="1" t="s">
        <v>1304</v>
      </c>
      <c r="M238" s="1" t="s">
        <v>1305</v>
      </c>
      <c r="N238" s="1" t="s">
        <v>1306</v>
      </c>
      <c r="O238" s="1" t="s">
        <v>39</v>
      </c>
      <c r="P238" s="4">
        <v>13.76</v>
      </c>
      <c r="Q238" s="5">
        <f t="shared" si="9"/>
        <v>16.512</v>
      </c>
      <c r="R238" s="4">
        <v>17.2</v>
      </c>
      <c r="S238" s="5">
        <f t="shared" si="10"/>
        <v>20.639999999999997</v>
      </c>
      <c r="T238" s="4">
        <v>20.64</v>
      </c>
      <c r="U238" s="5">
        <f t="shared" si="11"/>
        <v>24.768000000000001</v>
      </c>
      <c r="V238" s="1" t="s">
        <v>31</v>
      </c>
    </row>
    <row r="239" spans="1:22" x14ac:dyDescent="0.2">
      <c r="A239" s="1">
        <v>3319754</v>
      </c>
      <c r="B239" s="1" t="s">
        <v>1307</v>
      </c>
      <c r="C239" s="1" t="str">
        <f>"9788024621210"</f>
        <v>9788024621210</v>
      </c>
      <c r="D239" s="1" t="str">
        <f>"9788024627175"</f>
        <v>9788024627175</v>
      </c>
      <c r="E239" s="2" t="s">
        <v>580</v>
      </c>
      <c r="F239" s="2" t="s">
        <v>1290</v>
      </c>
      <c r="G239" s="1" t="s">
        <v>24</v>
      </c>
      <c r="J239" s="1" t="s">
        <v>1308</v>
      </c>
      <c r="K239" s="1" t="s">
        <v>79</v>
      </c>
      <c r="L239" s="1" t="s">
        <v>1309</v>
      </c>
      <c r="M239" s="1" t="s">
        <v>296</v>
      </c>
      <c r="N239" s="1" t="s">
        <v>1310</v>
      </c>
      <c r="O239" s="1" t="s">
        <v>39</v>
      </c>
      <c r="P239" s="4">
        <v>22.02</v>
      </c>
      <c r="Q239" s="5">
        <f t="shared" si="9"/>
        <v>26.423999999999999</v>
      </c>
      <c r="R239" s="4">
        <v>27.52</v>
      </c>
      <c r="S239" s="5">
        <f t="shared" si="10"/>
        <v>33.024000000000001</v>
      </c>
      <c r="T239" s="4">
        <v>33.03</v>
      </c>
      <c r="U239" s="5">
        <f t="shared" si="11"/>
        <v>39.636000000000003</v>
      </c>
      <c r="V239" s="1" t="s">
        <v>31</v>
      </c>
    </row>
    <row r="240" spans="1:22" x14ac:dyDescent="0.2">
      <c r="A240" s="1">
        <v>3319759</v>
      </c>
      <c r="B240" s="1" t="s">
        <v>1311</v>
      </c>
      <c r="C240" s="1" t="str">
        <f>"9788024623252"</f>
        <v>9788024623252</v>
      </c>
      <c r="D240" s="1" t="str">
        <f>"9788024623528"</f>
        <v>9788024623528</v>
      </c>
      <c r="E240" s="2" t="s">
        <v>84</v>
      </c>
      <c r="F240" s="2" t="s">
        <v>1290</v>
      </c>
      <c r="G240" s="1" t="s">
        <v>24</v>
      </c>
      <c r="J240" s="1" t="s">
        <v>1312</v>
      </c>
      <c r="K240" s="1" t="s">
        <v>26</v>
      </c>
      <c r="L240" s="1" t="s">
        <v>1313</v>
      </c>
      <c r="M240" s="1" t="s">
        <v>1314</v>
      </c>
      <c r="N240" s="1" t="s">
        <v>1315</v>
      </c>
      <c r="O240" s="1" t="s">
        <v>39</v>
      </c>
      <c r="P240" s="4">
        <v>13.76</v>
      </c>
      <c r="Q240" s="5">
        <f t="shared" si="9"/>
        <v>16.512</v>
      </c>
      <c r="R240" s="4">
        <v>17.2</v>
      </c>
      <c r="S240" s="5">
        <f t="shared" si="10"/>
        <v>20.639999999999997</v>
      </c>
      <c r="T240" s="4">
        <v>20.64</v>
      </c>
      <c r="U240" s="5">
        <f t="shared" si="11"/>
        <v>24.768000000000001</v>
      </c>
      <c r="V240" s="1" t="s">
        <v>31</v>
      </c>
    </row>
    <row r="241" spans="1:22" x14ac:dyDescent="0.2">
      <c r="A241" s="1">
        <v>3319769</v>
      </c>
      <c r="B241" s="1" t="s">
        <v>1316</v>
      </c>
      <c r="C241" s="1" t="str">
        <f>"9788024622811"</f>
        <v>9788024622811</v>
      </c>
      <c r="D241" s="1" t="str">
        <f>"9788024625508"</f>
        <v>9788024625508</v>
      </c>
      <c r="E241" s="2" t="s">
        <v>206</v>
      </c>
      <c r="F241" s="2" t="s">
        <v>1317</v>
      </c>
      <c r="G241" s="1" t="s">
        <v>24</v>
      </c>
      <c r="J241" s="1" t="s">
        <v>1318</v>
      </c>
      <c r="K241" s="1" t="s">
        <v>1319</v>
      </c>
      <c r="L241" s="1" t="s">
        <v>1320</v>
      </c>
      <c r="M241" s="1" t="s">
        <v>1321</v>
      </c>
      <c r="N241" s="1" t="s">
        <v>1322</v>
      </c>
      <c r="O241" s="1" t="s">
        <v>39</v>
      </c>
      <c r="P241" s="4">
        <v>13.76</v>
      </c>
      <c r="Q241" s="5">
        <f t="shared" si="9"/>
        <v>16.512</v>
      </c>
      <c r="R241" s="4">
        <v>17.2</v>
      </c>
      <c r="S241" s="5">
        <f t="shared" si="10"/>
        <v>20.639999999999997</v>
      </c>
      <c r="T241" s="4">
        <v>20.64</v>
      </c>
      <c r="U241" s="5">
        <f t="shared" si="11"/>
        <v>24.768000000000001</v>
      </c>
      <c r="V241" s="1" t="s">
        <v>31</v>
      </c>
    </row>
    <row r="242" spans="1:22" x14ac:dyDescent="0.2">
      <c r="A242" s="1">
        <v>3319772</v>
      </c>
      <c r="B242" s="1" t="s">
        <v>1323</v>
      </c>
      <c r="C242" s="1" t="str">
        <f>""</f>
        <v/>
      </c>
      <c r="D242" s="1" t="str">
        <f>"9788024624914"</f>
        <v>9788024624914</v>
      </c>
      <c r="E242" s="2" t="s">
        <v>122</v>
      </c>
      <c r="F242" s="2" t="s">
        <v>1317</v>
      </c>
      <c r="G242" s="1" t="s">
        <v>24</v>
      </c>
      <c r="J242" s="1" t="s">
        <v>283</v>
      </c>
      <c r="K242" s="1" t="s">
        <v>284</v>
      </c>
      <c r="L242" s="1" t="s">
        <v>1324</v>
      </c>
      <c r="M242" s="1" t="s">
        <v>286</v>
      </c>
      <c r="N242" s="1" t="s">
        <v>1325</v>
      </c>
      <c r="O242" s="1" t="s">
        <v>171</v>
      </c>
      <c r="P242" s="4">
        <v>13.76</v>
      </c>
      <c r="Q242" s="5">
        <f t="shared" si="9"/>
        <v>16.512</v>
      </c>
      <c r="R242" s="4">
        <v>17.2</v>
      </c>
      <c r="S242" s="5">
        <f t="shared" si="10"/>
        <v>20.639999999999997</v>
      </c>
      <c r="T242" s="4">
        <v>20.64</v>
      </c>
      <c r="U242" s="5">
        <f t="shared" si="11"/>
        <v>24.768000000000001</v>
      </c>
      <c r="V242" s="1" t="s">
        <v>31</v>
      </c>
    </row>
    <row r="243" spans="1:22" x14ac:dyDescent="0.2">
      <c r="A243" s="1">
        <v>3319776</v>
      </c>
      <c r="B243" s="1" t="s">
        <v>1326</v>
      </c>
      <c r="C243" s="1" t="str">
        <f>""</f>
        <v/>
      </c>
      <c r="D243" s="1" t="str">
        <f>"9788024611228"</f>
        <v>9788024611228</v>
      </c>
      <c r="E243" s="2" t="s">
        <v>1327</v>
      </c>
      <c r="F243" s="2" t="s">
        <v>1317</v>
      </c>
      <c r="G243" s="1" t="s">
        <v>24</v>
      </c>
      <c r="J243" s="1" t="s">
        <v>1328</v>
      </c>
      <c r="K243" s="1" t="s">
        <v>79</v>
      </c>
      <c r="L243" s="1" t="s">
        <v>1329</v>
      </c>
      <c r="M243" s="1">
        <v>415</v>
      </c>
      <c r="N243" s="1" t="s">
        <v>1330</v>
      </c>
      <c r="O243" s="1" t="s">
        <v>39</v>
      </c>
      <c r="P243" s="4">
        <v>13.76</v>
      </c>
      <c r="Q243" s="5">
        <f t="shared" si="9"/>
        <v>16.512</v>
      </c>
      <c r="R243" s="4">
        <v>17.2</v>
      </c>
      <c r="S243" s="5">
        <f t="shared" si="10"/>
        <v>20.639999999999997</v>
      </c>
      <c r="T243" s="4">
        <v>20.64</v>
      </c>
      <c r="U243" s="5">
        <f t="shared" si="11"/>
        <v>24.768000000000001</v>
      </c>
      <c r="V243" s="1" t="s">
        <v>31</v>
      </c>
    </row>
    <row r="244" spans="1:22" x14ac:dyDescent="0.2">
      <c r="A244" s="1">
        <v>3319786</v>
      </c>
      <c r="B244" s="1" t="s">
        <v>1331</v>
      </c>
      <c r="C244" s="1" t="str">
        <f>"9788024617893"</f>
        <v>9788024617893</v>
      </c>
      <c r="D244" s="1" t="str">
        <f>"9788024627267"</f>
        <v>9788024627267</v>
      </c>
      <c r="E244" s="2" t="s">
        <v>34</v>
      </c>
      <c r="F244" s="2" t="s">
        <v>1317</v>
      </c>
      <c r="G244" s="1" t="s">
        <v>24</v>
      </c>
      <c r="I244" s="1" t="s">
        <v>623</v>
      </c>
      <c r="J244" s="1" t="s">
        <v>624</v>
      </c>
      <c r="K244" s="1" t="s">
        <v>43</v>
      </c>
      <c r="L244" s="1" t="s">
        <v>1332</v>
      </c>
      <c r="M244" s="1" t="s">
        <v>678</v>
      </c>
      <c r="N244" s="1" t="s">
        <v>679</v>
      </c>
      <c r="O244" s="1" t="s">
        <v>39</v>
      </c>
      <c r="P244" s="4">
        <v>15.6</v>
      </c>
      <c r="Q244" s="5">
        <f t="shared" si="9"/>
        <v>18.72</v>
      </c>
      <c r="R244" s="4">
        <v>19.5</v>
      </c>
      <c r="S244" s="5">
        <f t="shared" si="10"/>
        <v>23.4</v>
      </c>
      <c r="T244" s="4">
        <v>23.39</v>
      </c>
      <c r="U244" s="5">
        <f t="shared" si="11"/>
        <v>28.068000000000001</v>
      </c>
      <c r="V244" s="1" t="s">
        <v>31</v>
      </c>
    </row>
    <row r="245" spans="1:22" x14ac:dyDescent="0.2">
      <c r="A245" s="1">
        <v>3319795</v>
      </c>
      <c r="B245" s="1" t="s">
        <v>1333</v>
      </c>
      <c r="C245" s="1" t="str">
        <f>"9788024614946"</f>
        <v>9788024614946</v>
      </c>
      <c r="D245" s="1" t="str">
        <f>"9788024625782"</f>
        <v>9788024625782</v>
      </c>
      <c r="E245" s="2" t="s">
        <v>676</v>
      </c>
      <c r="F245" s="2" t="s">
        <v>1334</v>
      </c>
      <c r="G245" s="1" t="s">
        <v>24</v>
      </c>
      <c r="I245" s="1" t="s">
        <v>187</v>
      </c>
      <c r="J245" s="1" t="s">
        <v>1335</v>
      </c>
      <c r="K245" s="1" t="s">
        <v>72</v>
      </c>
      <c r="L245" s="1" t="s">
        <v>1336</v>
      </c>
      <c r="M245" s="1" t="s">
        <v>436</v>
      </c>
      <c r="N245" s="1" t="s">
        <v>1337</v>
      </c>
      <c r="O245" s="1" t="s">
        <v>30</v>
      </c>
      <c r="P245" s="4">
        <v>18.350000000000001</v>
      </c>
      <c r="Q245" s="5">
        <f t="shared" si="9"/>
        <v>22.02</v>
      </c>
      <c r="R245" s="4">
        <v>22.94</v>
      </c>
      <c r="S245" s="5">
        <f t="shared" si="10"/>
        <v>27.528000000000002</v>
      </c>
      <c r="T245" s="4">
        <v>27.52</v>
      </c>
      <c r="U245" s="5">
        <f t="shared" si="11"/>
        <v>33.024000000000001</v>
      </c>
      <c r="V245" s="1" t="s">
        <v>31</v>
      </c>
    </row>
    <row r="246" spans="1:22" x14ac:dyDescent="0.2">
      <c r="A246" s="1">
        <v>3319798</v>
      </c>
      <c r="B246" s="1" t="s">
        <v>1338</v>
      </c>
      <c r="C246" s="1" t="str">
        <f>"9788024626871"</f>
        <v>9788024626871</v>
      </c>
      <c r="D246" s="1" t="str">
        <f>"9788024627069"</f>
        <v>9788024627069</v>
      </c>
      <c r="E246" s="2" t="s">
        <v>1339</v>
      </c>
      <c r="F246" s="2" t="s">
        <v>1340</v>
      </c>
      <c r="G246" s="1" t="s">
        <v>24</v>
      </c>
      <c r="J246" s="1" t="s">
        <v>1341</v>
      </c>
      <c r="K246" s="1" t="s">
        <v>260</v>
      </c>
      <c r="L246" s="1" t="s">
        <v>1342</v>
      </c>
      <c r="M246" s="1" t="s">
        <v>1343</v>
      </c>
      <c r="N246" s="1" t="s">
        <v>1344</v>
      </c>
      <c r="O246" s="1" t="s">
        <v>39</v>
      </c>
      <c r="P246" s="4">
        <v>13.76</v>
      </c>
      <c r="Q246" s="5">
        <f t="shared" si="9"/>
        <v>16.512</v>
      </c>
      <c r="R246" s="4">
        <v>17.2</v>
      </c>
      <c r="S246" s="5">
        <f t="shared" si="10"/>
        <v>20.639999999999997</v>
      </c>
      <c r="T246" s="4">
        <v>20.64</v>
      </c>
      <c r="U246" s="5">
        <f t="shared" si="11"/>
        <v>24.768000000000001</v>
      </c>
      <c r="V246" s="1" t="s">
        <v>31</v>
      </c>
    </row>
    <row r="247" spans="1:22" x14ac:dyDescent="0.2">
      <c r="A247" s="1">
        <v>3319804</v>
      </c>
      <c r="B247" s="1" t="s">
        <v>1345</v>
      </c>
      <c r="C247" s="1" t="str">
        <f>"9788024613734"</f>
        <v>9788024613734</v>
      </c>
      <c r="D247" s="1" t="str">
        <f>"9788024628196"</f>
        <v>9788024628196</v>
      </c>
      <c r="E247" s="2" t="s">
        <v>433</v>
      </c>
      <c r="F247" s="2" t="s">
        <v>1340</v>
      </c>
      <c r="G247" s="1" t="s">
        <v>24</v>
      </c>
      <c r="J247" s="1" t="s">
        <v>1346</v>
      </c>
      <c r="K247" s="1" t="s">
        <v>64</v>
      </c>
      <c r="L247" s="1" t="s">
        <v>1347</v>
      </c>
      <c r="M247" s="1" t="s">
        <v>1348</v>
      </c>
      <c r="N247" s="1" t="s">
        <v>1349</v>
      </c>
      <c r="O247" s="1" t="s">
        <v>30</v>
      </c>
      <c r="P247" s="4">
        <v>16.510000000000002</v>
      </c>
      <c r="Q247" s="5">
        <f t="shared" si="9"/>
        <v>19.812000000000001</v>
      </c>
      <c r="R247" s="4">
        <v>20.64</v>
      </c>
      <c r="S247" s="5">
        <f t="shared" si="10"/>
        <v>24.768000000000001</v>
      </c>
      <c r="T247" s="4">
        <v>24.77</v>
      </c>
      <c r="U247" s="5">
        <f t="shared" si="11"/>
        <v>29.723999999999997</v>
      </c>
      <c r="V247" s="1" t="s">
        <v>31</v>
      </c>
    </row>
    <row r="248" spans="1:22" x14ac:dyDescent="0.2">
      <c r="A248" s="1">
        <v>3319816</v>
      </c>
      <c r="B248" s="1" t="s">
        <v>1350</v>
      </c>
      <c r="C248" s="1" t="str">
        <f>"9788024612744"</f>
        <v>9788024612744</v>
      </c>
      <c r="D248" s="1" t="str">
        <f>"9788024627076"</f>
        <v>9788024627076</v>
      </c>
      <c r="E248" s="2" t="s">
        <v>427</v>
      </c>
      <c r="F248" s="2" t="s">
        <v>1340</v>
      </c>
      <c r="G248" s="1" t="s">
        <v>24</v>
      </c>
      <c r="J248" s="1" t="s">
        <v>1351</v>
      </c>
      <c r="K248" s="1" t="s">
        <v>181</v>
      </c>
      <c r="L248" s="1" t="s">
        <v>1352</v>
      </c>
      <c r="M248" s="1" t="s">
        <v>1353</v>
      </c>
      <c r="N248" s="1" t="s">
        <v>1354</v>
      </c>
      <c r="O248" s="1" t="s">
        <v>39</v>
      </c>
      <c r="P248" s="4">
        <v>15.6</v>
      </c>
      <c r="Q248" s="5">
        <f t="shared" si="9"/>
        <v>18.72</v>
      </c>
      <c r="R248" s="4">
        <v>19.5</v>
      </c>
      <c r="S248" s="5">
        <f t="shared" si="10"/>
        <v>23.4</v>
      </c>
      <c r="T248" s="4">
        <v>23.39</v>
      </c>
      <c r="U248" s="5">
        <f t="shared" si="11"/>
        <v>28.068000000000001</v>
      </c>
      <c r="V248" s="1" t="s">
        <v>31</v>
      </c>
    </row>
    <row r="249" spans="1:22" x14ac:dyDescent="0.2">
      <c r="A249" s="1">
        <v>3319819</v>
      </c>
      <c r="B249" s="1" t="s">
        <v>1355</v>
      </c>
      <c r="C249" s="1" t="str">
        <f>"9788024612249"</f>
        <v>9788024612249</v>
      </c>
      <c r="D249" s="1" t="str">
        <f>"9788024627021"</f>
        <v>9788024627021</v>
      </c>
      <c r="E249" s="2" t="s">
        <v>1356</v>
      </c>
      <c r="F249" s="2" t="s">
        <v>1340</v>
      </c>
      <c r="G249" s="1" t="s">
        <v>24</v>
      </c>
      <c r="J249" s="1" t="s">
        <v>894</v>
      </c>
      <c r="K249" s="1" t="s">
        <v>111</v>
      </c>
      <c r="L249" s="1" t="s">
        <v>1357</v>
      </c>
      <c r="M249" s="1" t="s">
        <v>1358</v>
      </c>
      <c r="N249" s="1" t="s">
        <v>1359</v>
      </c>
      <c r="O249" s="1" t="s">
        <v>39</v>
      </c>
      <c r="P249" s="4">
        <v>22.94</v>
      </c>
      <c r="Q249" s="5">
        <f t="shared" si="9"/>
        <v>27.528000000000002</v>
      </c>
      <c r="R249" s="4">
        <v>28.67</v>
      </c>
      <c r="S249" s="5">
        <f t="shared" si="10"/>
        <v>34.404000000000003</v>
      </c>
      <c r="T249" s="4">
        <v>34.4</v>
      </c>
      <c r="U249" s="5">
        <f t="shared" si="11"/>
        <v>41.279999999999994</v>
      </c>
      <c r="V249" s="1" t="s">
        <v>31</v>
      </c>
    </row>
    <row r="250" spans="1:22" x14ac:dyDescent="0.2">
      <c r="A250" s="1">
        <v>3319825</v>
      </c>
      <c r="B250" s="1" t="s">
        <v>1360</v>
      </c>
      <c r="C250" s="1" t="str">
        <f>"9788024629407"</f>
        <v>9788024629407</v>
      </c>
      <c r="D250" s="1" t="str">
        <f>"9788024629520"</f>
        <v>9788024629520</v>
      </c>
      <c r="E250" s="2" t="s">
        <v>1005</v>
      </c>
      <c r="F250" s="2" t="s">
        <v>1361</v>
      </c>
      <c r="G250" s="1" t="s">
        <v>24</v>
      </c>
      <c r="J250" s="1" t="s">
        <v>1362</v>
      </c>
      <c r="K250" s="1" t="s">
        <v>1363</v>
      </c>
      <c r="L250" s="1" t="s">
        <v>1364</v>
      </c>
      <c r="M250" s="1" t="s">
        <v>1365</v>
      </c>
      <c r="N250" s="1" t="s">
        <v>1366</v>
      </c>
      <c r="O250" s="1" t="s">
        <v>39</v>
      </c>
      <c r="P250" s="4">
        <v>13.76</v>
      </c>
      <c r="Q250" s="5">
        <f t="shared" si="9"/>
        <v>16.512</v>
      </c>
      <c r="R250" s="4">
        <v>17.2</v>
      </c>
      <c r="S250" s="5">
        <f t="shared" si="10"/>
        <v>20.639999999999997</v>
      </c>
      <c r="T250" s="4">
        <v>20.64</v>
      </c>
      <c r="U250" s="5">
        <f t="shared" si="11"/>
        <v>24.768000000000001</v>
      </c>
      <c r="V250" s="1" t="s">
        <v>31</v>
      </c>
    </row>
    <row r="251" spans="1:22" x14ac:dyDescent="0.2">
      <c r="A251" s="1">
        <v>3319826</v>
      </c>
      <c r="B251" s="1" t="s">
        <v>1367</v>
      </c>
      <c r="C251" s="1" t="str">
        <f>"9788024627342"</f>
        <v>9788024627342</v>
      </c>
      <c r="D251" s="1" t="str">
        <f>"9788024627380"</f>
        <v>9788024627380</v>
      </c>
      <c r="E251" s="2" t="s">
        <v>981</v>
      </c>
      <c r="F251" s="2" t="s">
        <v>1361</v>
      </c>
      <c r="G251" s="1" t="s">
        <v>24</v>
      </c>
      <c r="J251" s="1" t="s">
        <v>1368</v>
      </c>
      <c r="K251" s="1" t="s">
        <v>79</v>
      </c>
      <c r="L251" s="1" t="s">
        <v>1369</v>
      </c>
      <c r="M251" s="1">
        <v>410</v>
      </c>
      <c r="N251" s="1" t="s">
        <v>1370</v>
      </c>
      <c r="O251" s="1" t="s">
        <v>39</v>
      </c>
      <c r="P251" s="4">
        <v>18.350000000000001</v>
      </c>
      <c r="Q251" s="5">
        <f t="shared" si="9"/>
        <v>22.02</v>
      </c>
      <c r="R251" s="4">
        <v>22.94</v>
      </c>
      <c r="S251" s="5">
        <f t="shared" si="10"/>
        <v>27.528000000000002</v>
      </c>
      <c r="T251" s="4">
        <v>27.52</v>
      </c>
      <c r="U251" s="5">
        <f t="shared" si="11"/>
        <v>33.024000000000001</v>
      </c>
      <c r="V251" s="1" t="s">
        <v>31</v>
      </c>
    </row>
    <row r="252" spans="1:22" x14ac:dyDescent="0.2">
      <c r="A252" s="1">
        <v>3319828</v>
      </c>
      <c r="B252" s="1" t="s">
        <v>1371</v>
      </c>
      <c r="C252" s="1" t="str">
        <f>"9788024624440"</f>
        <v>9788024624440</v>
      </c>
      <c r="D252" s="1" t="str">
        <f>"9788024624587"</f>
        <v>9788024624587</v>
      </c>
      <c r="E252" s="2" t="s">
        <v>421</v>
      </c>
      <c r="F252" s="2" t="s">
        <v>1361</v>
      </c>
      <c r="G252" s="1" t="s">
        <v>24</v>
      </c>
      <c r="J252" s="1" t="s">
        <v>932</v>
      </c>
      <c r="K252" s="1" t="s">
        <v>587</v>
      </c>
      <c r="L252" s="1" t="s">
        <v>1372</v>
      </c>
      <c r="M252" s="1">
        <v>613</v>
      </c>
      <c r="N252" s="1" t="s">
        <v>1373</v>
      </c>
      <c r="O252" s="1" t="s">
        <v>39</v>
      </c>
      <c r="P252" s="4">
        <v>13.76</v>
      </c>
      <c r="Q252" s="5">
        <f t="shared" si="9"/>
        <v>16.512</v>
      </c>
      <c r="R252" s="4">
        <v>17.2</v>
      </c>
      <c r="S252" s="5">
        <f t="shared" si="10"/>
        <v>20.639999999999997</v>
      </c>
      <c r="T252" s="4">
        <v>20.64</v>
      </c>
      <c r="U252" s="5">
        <f t="shared" si="11"/>
        <v>24.768000000000001</v>
      </c>
      <c r="V252" s="1" t="s">
        <v>31</v>
      </c>
    </row>
    <row r="253" spans="1:22" x14ac:dyDescent="0.2">
      <c r="A253" s="1">
        <v>3319831</v>
      </c>
      <c r="B253" s="1" t="s">
        <v>1374</v>
      </c>
      <c r="C253" s="1" t="str">
        <f>"9788024627809"</f>
        <v>9788024627809</v>
      </c>
      <c r="D253" s="1" t="str">
        <f>"9788024627946"</f>
        <v>9788024627946</v>
      </c>
      <c r="E253" s="2" t="s">
        <v>981</v>
      </c>
      <c r="F253" s="2" t="s">
        <v>1361</v>
      </c>
      <c r="G253" s="1" t="s">
        <v>24</v>
      </c>
      <c r="J253" s="1" t="s">
        <v>1375</v>
      </c>
      <c r="K253" s="1" t="s">
        <v>79</v>
      </c>
      <c r="L253" s="1" t="s">
        <v>1376</v>
      </c>
      <c r="M253" s="1" t="s">
        <v>1377</v>
      </c>
      <c r="N253" s="1" t="s">
        <v>1378</v>
      </c>
      <c r="O253" s="1" t="s">
        <v>39</v>
      </c>
      <c r="P253" s="4">
        <v>13.76</v>
      </c>
      <c r="Q253" s="5">
        <f t="shared" si="9"/>
        <v>16.512</v>
      </c>
      <c r="R253" s="4">
        <v>17.2</v>
      </c>
      <c r="S253" s="5">
        <f t="shared" si="10"/>
        <v>20.639999999999997</v>
      </c>
      <c r="T253" s="4">
        <v>20.64</v>
      </c>
      <c r="U253" s="5">
        <f t="shared" si="11"/>
        <v>24.768000000000001</v>
      </c>
      <c r="V253" s="1" t="s">
        <v>31</v>
      </c>
    </row>
    <row r="254" spans="1:22" x14ac:dyDescent="0.2">
      <c r="A254" s="1">
        <v>3319833</v>
      </c>
      <c r="B254" s="1" t="s">
        <v>1379</v>
      </c>
      <c r="C254" s="1" t="str">
        <f>"9788024629315"</f>
        <v>9788024629315</v>
      </c>
      <c r="D254" s="1" t="str">
        <f>"9788024629681"</f>
        <v>9788024629681</v>
      </c>
      <c r="E254" s="2" t="s">
        <v>1005</v>
      </c>
      <c r="F254" s="2" t="s">
        <v>1361</v>
      </c>
      <c r="G254" s="1" t="s">
        <v>24</v>
      </c>
      <c r="J254" s="1" t="s">
        <v>1380</v>
      </c>
      <c r="K254" s="1" t="s">
        <v>138</v>
      </c>
      <c r="L254" s="1" t="s">
        <v>1381</v>
      </c>
      <c r="M254" s="1" t="s">
        <v>140</v>
      </c>
      <c r="N254" s="1" t="s">
        <v>141</v>
      </c>
      <c r="O254" s="1" t="s">
        <v>39</v>
      </c>
      <c r="P254" s="4">
        <v>14.68</v>
      </c>
      <c r="Q254" s="5">
        <f t="shared" si="9"/>
        <v>17.616</v>
      </c>
      <c r="R254" s="4">
        <v>18.350000000000001</v>
      </c>
      <c r="S254" s="5">
        <f t="shared" si="10"/>
        <v>22.02</v>
      </c>
      <c r="T254" s="4">
        <v>22.02</v>
      </c>
      <c r="U254" s="5">
        <f t="shared" si="11"/>
        <v>26.423999999999999</v>
      </c>
      <c r="V254" s="1" t="s">
        <v>31</v>
      </c>
    </row>
    <row r="255" spans="1:22" x14ac:dyDescent="0.2">
      <c r="A255" s="1">
        <v>3319834</v>
      </c>
      <c r="B255" s="1" t="s">
        <v>1382</v>
      </c>
      <c r="C255" s="1" t="str">
        <f>"9788024624952"</f>
        <v>9788024624952</v>
      </c>
      <c r="D255" s="1" t="str">
        <f>"9788024628387"</f>
        <v>9788024628387</v>
      </c>
      <c r="E255" s="2" t="s">
        <v>868</v>
      </c>
      <c r="F255" s="2" t="s">
        <v>1361</v>
      </c>
      <c r="G255" s="1" t="s">
        <v>24</v>
      </c>
      <c r="J255" s="1" t="s">
        <v>1383</v>
      </c>
      <c r="K255" s="1" t="s">
        <v>1054</v>
      </c>
      <c r="L255" s="1" t="s">
        <v>1384</v>
      </c>
      <c r="M255" s="1">
        <v>368</v>
      </c>
      <c r="N255" s="1" t="s">
        <v>1385</v>
      </c>
      <c r="O255" s="1" t="s">
        <v>39</v>
      </c>
      <c r="P255" s="4">
        <v>13.76</v>
      </c>
      <c r="Q255" s="5">
        <f t="shared" si="9"/>
        <v>16.512</v>
      </c>
      <c r="R255" s="4">
        <v>17.2</v>
      </c>
      <c r="S255" s="5">
        <f t="shared" si="10"/>
        <v>20.639999999999997</v>
      </c>
      <c r="T255" s="4">
        <v>20.64</v>
      </c>
      <c r="U255" s="5">
        <f t="shared" si="11"/>
        <v>24.768000000000001</v>
      </c>
      <c r="V255" s="1" t="s">
        <v>31</v>
      </c>
    </row>
    <row r="256" spans="1:22" x14ac:dyDescent="0.2">
      <c r="A256" s="1">
        <v>3319835</v>
      </c>
      <c r="B256" s="1" t="s">
        <v>1386</v>
      </c>
      <c r="C256" s="1" t="str">
        <f>"9788024628912"</f>
        <v>9788024628912</v>
      </c>
      <c r="D256" s="1" t="str">
        <f>"9788024629704"</f>
        <v>9788024629704</v>
      </c>
      <c r="E256" s="2" t="s">
        <v>981</v>
      </c>
      <c r="F256" s="2" t="s">
        <v>1361</v>
      </c>
      <c r="G256" s="1" t="s">
        <v>24</v>
      </c>
      <c r="J256" s="1" t="s">
        <v>1011</v>
      </c>
      <c r="K256" s="1" t="s">
        <v>124</v>
      </c>
      <c r="L256" s="1" t="s">
        <v>1012</v>
      </c>
      <c r="M256" s="1" t="s">
        <v>126</v>
      </c>
      <c r="N256" s="1" t="s">
        <v>1013</v>
      </c>
      <c r="O256" s="1" t="s">
        <v>39</v>
      </c>
      <c r="P256" s="4">
        <v>13.76</v>
      </c>
      <c r="Q256" s="5">
        <f t="shared" si="9"/>
        <v>16.512</v>
      </c>
      <c r="R256" s="4">
        <v>17.2</v>
      </c>
      <c r="S256" s="5">
        <f t="shared" si="10"/>
        <v>20.639999999999997</v>
      </c>
      <c r="T256" s="4">
        <v>20.64</v>
      </c>
      <c r="U256" s="5">
        <f t="shared" si="11"/>
        <v>24.768000000000001</v>
      </c>
      <c r="V256" s="1" t="s">
        <v>31</v>
      </c>
    </row>
    <row r="257" spans="1:22" x14ac:dyDescent="0.2">
      <c r="A257" s="1">
        <v>3319842</v>
      </c>
      <c r="B257" s="1" t="s">
        <v>1387</v>
      </c>
      <c r="C257" s="1" t="str">
        <f>"9788024622583"</f>
        <v>9788024622583</v>
      </c>
      <c r="D257" s="1" t="str">
        <f>"9788024629902"</f>
        <v>9788024629902</v>
      </c>
      <c r="E257" s="2" t="s">
        <v>22</v>
      </c>
      <c r="F257" s="2" t="s">
        <v>1361</v>
      </c>
      <c r="G257" s="1" t="s">
        <v>24</v>
      </c>
      <c r="J257" s="1" t="s">
        <v>1388</v>
      </c>
      <c r="K257" s="1" t="s">
        <v>1389</v>
      </c>
      <c r="L257" s="1" t="s">
        <v>1390</v>
      </c>
      <c r="M257" s="1">
        <v>592</v>
      </c>
      <c r="N257" s="1" t="s">
        <v>1391</v>
      </c>
      <c r="O257" s="1" t="s">
        <v>39</v>
      </c>
      <c r="P257" s="4">
        <v>13.76</v>
      </c>
      <c r="Q257" s="5">
        <f t="shared" si="9"/>
        <v>16.512</v>
      </c>
      <c r="R257" s="4">
        <v>17.2</v>
      </c>
      <c r="S257" s="5">
        <f t="shared" si="10"/>
        <v>20.639999999999997</v>
      </c>
      <c r="T257" s="4">
        <v>20.64</v>
      </c>
      <c r="U257" s="5">
        <f t="shared" si="11"/>
        <v>24.768000000000001</v>
      </c>
      <c r="V257" s="1" t="s">
        <v>31</v>
      </c>
    </row>
    <row r="258" spans="1:22" x14ac:dyDescent="0.2">
      <c r="A258" s="1">
        <v>3433457</v>
      </c>
      <c r="B258" s="1" t="s">
        <v>1392</v>
      </c>
      <c r="C258" s="1" t="str">
        <f>"9788024627854"</f>
        <v>9788024627854</v>
      </c>
      <c r="D258" s="1" t="str">
        <f>"9788024627892"</f>
        <v>9788024627892</v>
      </c>
      <c r="E258" s="2" t="s">
        <v>855</v>
      </c>
      <c r="F258" s="2" t="s">
        <v>1393</v>
      </c>
      <c r="G258" s="1" t="s">
        <v>24</v>
      </c>
      <c r="J258" s="1" t="s">
        <v>1394</v>
      </c>
      <c r="K258" s="1" t="s">
        <v>150</v>
      </c>
      <c r="L258" s="1" t="s">
        <v>1395</v>
      </c>
      <c r="M258" s="1" t="s">
        <v>1396</v>
      </c>
      <c r="N258" s="1" t="s">
        <v>1397</v>
      </c>
      <c r="O258" s="1" t="s">
        <v>39</v>
      </c>
      <c r="P258" s="4">
        <v>13.76</v>
      </c>
      <c r="Q258" s="5">
        <f t="shared" si="9"/>
        <v>16.512</v>
      </c>
      <c r="R258" s="4">
        <v>17.2</v>
      </c>
      <c r="S258" s="5">
        <f t="shared" si="10"/>
        <v>20.639999999999997</v>
      </c>
      <c r="T258" s="4">
        <v>20.64</v>
      </c>
      <c r="U258" s="5">
        <f t="shared" si="11"/>
        <v>24.768000000000001</v>
      </c>
      <c r="V258" s="1" t="s">
        <v>31</v>
      </c>
    </row>
    <row r="259" spans="1:22" x14ac:dyDescent="0.2">
      <c r="A259" s="1">
        <v>3433460</v>
      </c>
      <c r="B259" s="1" t="s">
        <v>1398</v>
      </c>
      <c r="C259" s="1" t="str">
        <f>"9788024622514"</f>
        <v>9788024622514</v>
      </c>
      <c r="D259" s="1" t="str">
        <f>"9788024629889"</f>
        <v>9788024629889</v>
      </c>
      <c r="E259" s="2" t="s">
        <v>91</v>
      </c>
      <c r="F259" s="2" t="s">
        <v>1393</v>
      </c>
      <c r="G259" s="1" t="s">
        <v>24</v>
      </c>
      <c r="J259" s="1" t="s">
        <v>1399</v>
      </c>
      <c r="K259" s="1" t="s">
        <v>64</v>
      </c>
      <c r="L259" s="1" t="s">
        <v>1400</v>
      </c>
      <c r="M259" s="1" t="s">
        <v>1401</v>
      </c>
      <c r="N259" s="1" t="s">
        <v>1402</v>
      </c>
      <c r="O259" s="1" t="s">
        <v>39</v>
      </c>
      <c r="P259" s="4">
        <v>13.76</v>
      </c>
      <c r="Q259" s="5">
        <f t="shared" ref="Q259:Q322" si="12">P259*1.2</f>
        <v>16.512</v>
      </c>
      <c r="R259" s="4">
        <v>17.2</v>
      </c>
      <c r="S259" s="5">
        <f t="shared" ref="S259:S322" si="13">R259*1.2</f>
        <v>20.639999999999997</v>
      </c>
      <c r="T259" s="4">
        <v>20.64</v>
      </c>
      <c r="U259" s="5">
        <f t="shared" ref="U259:U322" si="14">T259*1.2</f>
        <v>24.768000000000001</v>
      </c>
      <c r="V259" s="1" t="s">
        <v>31</v>
      </c>
    </row>
    <row r="260" spans="1:22" x14ac:dyDescent="0.2">
      <c r="A260" s="1">
        <v>3433464</v>
      </c>
      <c r="B260" s="1" t="s">
        <v>1403</v>
      </c>
      <c r="C260" s="1" t="str">
        <f>"9788024626611"</f>
        <v>9788024626611</v>
      </c>
      <c r="D260" s="1" t="str">
        <f>"9788024626802"</f>
        <v>9788024626802</v>
      </c>
      <c r="E260" s="2" t="s">
        <v>91</v>
      </c>
      <c r="F260" s="2" t="s">
        <v>1393</v>
      </c>
      <c r="G260" s="1" t="s">
        <v>24</v>
      </c>
      <c r="J260" s="1" t="s">
        <v>1404</v>
      </c>
      <c r="K260" s="1" t="s">
        <v>36</v>
      </c>
      <c r="L260" s="1" t="s">
        <v>1405</v>
      </c>
      <c r="M260" s="1" t="s">
        <v>1406</v>
      </c>
      <c r="N260" s="1" t="s">
        <v>1407</v>
      </c>
      <c r="O260" s="1" t="s">
        <v>39</v>
      </c>
      <c r="P260" s="4">
        <v>13.76</v>
      </c>
      <c r="Q260" s="5">
        <f t="shared" si="12"/>
        <v>16.512</v>
      </c>
      <c r="R260" s="4">
        <v>17.2</v>
      </c>
      <c r="S260" s="5">
        <f t="shared" si="13"/>
        <v>20.639999999999997</v>
      </c>
      <c r="T260" s="4">
        <v>20.64</v>
      </c>
      <c r="U260" s="5">
        <f t="shared" si="14"/>
        <v>24.768000000000001</v>
      </c>
      <c r="V260" s="1" t="s">
        <v>31</v>
      </c>
    </row>
    <row r="261" spans="1:22" x14ac:dyDescent="0.2">
      <c r="A261" s="1">
        <v>3433466</v>
      </c>
      <c r="B261" s="1" t="s">
        <v>1408</v>
      </c>
      <c r="C261" s="1" t="str">
        <f>"9788024621791"</f>
        <v>9788024621791</v>
      </c>
      <c r="D261" s="1" t="str">
        <f>"9788024629896"</f>
        <v>9788024629896</v>
      </c>
      <c r="E261" s="2" t="s">
        <v>22</v>
      </c>
      <c r="F261" s="2" t="s">
        <v>1393</v>
      </c>
      <c r="G261" s="1" t="s">
        <v>24</v>
      </c>
      <c r="J261" s="1" t="s">
        <v>1399</v>
      </c>
      <c r="K261" s="1" t="s">
        <v>857</v>
      </c>
      <c r="L261" s="1" t="s">
        <v>1409</v>
      </c>
      <c r="M261" s="1" t="s">
        <v>1410</v>
      </c>
      <c r="N261" s="1" t="s">
        <v>1411</v>
      </c>
      <c r="O261" s="1" t="s">
        <v>39</v>
      </c>
      <c r="P261" s="4">
        <v>13.76</v>
      </c>
      <c r="Q261" s="5">
        <f t="shared" si="12"/>
        <v>16.512</v>
      </c>
      <c r="R261" s="4">
        <v>17.2</v>
      </c>
      <c r="S261" s="5">
        <f t="shared" si="13"/>
        <v>20.639999999999997</v>
      </c>
      <c r="T261" s="4">
        <v>20.64</v>
      </c>
      <c r="U261" s="5">
        <f t="shared" si="14"/>
        <v>24.768000000000001</v>
      </c>
      <c r="V261" s="1" t="s">
        <v>31</v>
      </c>
    </row>
    <row r="262" spans="1:22" x14ac:dyDescent="0.2">
      <c r="A262" s="1">
        <v>3433468</v>
      </c>
      <c r="B262" s="1" t="s">
        <v>1412</v>
      </c>
      <c r="C262" s="1" t="str">
        <f>"9788024622439"</f>
        <v>9788024622439</v>
      </c>
      <c r="D262" s="1" t="str">
        <f>"9788024624419"</f>
        <v>9788024624419</v>
      </c>
      <c r="E262" s="2" t="s">
        <v>421</v>
      </c>
      <c r="F262" s="2" t="s">
        <v>1393</v>
      </c>
      <c r="G262" s="1" t="s">
        <v>24</v>
      </c>
      <c r="J262" s="1" t="s">
        <v>1413</v>
      </c>
      <c r="K262" s="1" t="s">
        <v>1414</v>
      </c>
      <c r="L262" s="1" t="s">
        <v>1415</v>
      </c>
      <c r="M262" s="1" t="s">
        <v>1416</v>
      </c>
      <c r="N262" s="1" t="s">
        <v>1417</v>
      </c>
      <c r="O262" s="1" t="s">
        <v>39</v>
      </c>
      <c r="P262" s="4">
        <v>16.510000000000002</v>
      </c>
      <c r="Q262" s="5">
        <f t="shared" si="12"/>
        <v>19.812000000000001</v>
      </c>
      <c r="R262" s="4">
        <v>20.64</v>
      </c>
      <c r="S262" s="5">
        <f t="shared" si="13"/>
        <v>24.768000000000001</v>
      </c>
      <c r="T262" s="4">
        <v>24.77</v>
      </c>
      <c r="U262" s="5">
        <f t="shared" si="14"/>
        <v>29.723999999999997</v>
      </c>
      <c r="V262" s="1" t="s">
        <v>31</v>
      </c>
    </row>
    <row r="263" spans="1:22" x14ac:dyDescent="0.2">
      <c r="A263" s="1">
        <v>3433470</v>
      </c>
      <c r="B263" s="1" t="s">
        <v>1418</v>
      </c>
      <c r="C263" s="1" t="str">
        <f>"9788024626222"</f>
        <v>9788024626222</v>
      </c>
      <c r="D263" s="1" t="str">
        <f>"9788024626390"</f>
        <v>9788024626390</v>
      </c>
      <c r="E263" s="2" t="s">
        <v>122</v>
      </c>
      <c r="F263" s="2" t="s">
        <v>1393</v>
      </c>
      <c r="G263" s="1" t="s">
        <v>24</v>
      </c>
      <c r="J263" s="1" t="s">
        <v>1419</v>
      </c>
      <c r="K263" s="1" t="s">
        <v>72</v>
      </c>
      <c r="L263" s="1" t="s">
        <v>1420</v>
      </c>
      <c r="M263" s="1" t="s">
        <v>1421</v>
      </c>
      <c r="N263" s="1" t="s">
        <v>1422</v>
      </c>
      <c r="O263" s="1" t="s">
        <v>39</v>
      </c>
      <c r="P263" s="4">
        <v>13.76</v>
      </c>
      <c r="Q263" s="5">
        <f t="shared" si="12"/>
        <v>16.512</v>
      </c>
      <c r="R263" s="4">
        <v>17.2</v>
      </c>
      <c r="S263" s="5">
        <f t="shared" si="13"/>
        <v>20.639999999999997</v>
      </c>
      <c r="T263" s="4">
        <v>20.64</v>
      </c>
      <c r="U263" s="5">
        <f t="shared" si="14"/>
        <v>24.768000000000001</v>
      </c>
      <c r="V263" s="1" t="s">
        <v>31</v>
      </c>
    </row>
    <row r="264" spans="1:22" x14ac:dyDescent="0.2">
      <c r="A264" s="1">
        <v>3433471</v>
      </c>
      <c r="B264" s="1" t="s">
        <v>1423</v>
      </c>
      <c r="C264" s="1" t="str">
        <f>"9788024624594"</f>
        <v>9788024624594</v>
      </c>
      <c r="D264" s="1" t="str">
        <f>"9788024625294"</f>
        <v>9788024625294</v>
      </c>
      <c r="E264" s="2" t="s">
        <v>109</v>
      </c>
      <c r="F264" s="2" t="s">
        <v>1393</v>
      </c>
      <c r="G264" s="1" t="s">
        <v>24</v>
      </c>
      <c r="J264" s="1" t="s">
        <v>1424</v>
      </c>
      <c r="K264" s="1" t="s">
        <v>79</v>
      </c>
      <c r="L264" s="1" t="s">
        <v>1425</v>
      </c>
      <c r="M264" s="1" t="s">
        <v>296</v>
      </c>
      <c r="N264" s="1" t="s">
        <v>1426</v>
      </c>
      <c r="O264" s="1" t="s">
        <v>39</v>
      </c>
      <c r="P264" s="4">
        <v>13.76</v>
      </c>
      <c r="Q264" s="5">
        <f t="shared" si="12"/>
        <v>16.512</v>
      </c>
      <c r="R264" s="4">
        <v>17.2</v>
      </c>
      <c r="S264" s="5">
        <f t="shared" si="13"/>
        <v>20.639999999999997</v>
      </c>
      <c r="T264" s="4">
        <v>20.64</v>
      </c>
      <c r="U264" s="5">
        <f t="shared" si="14"/>
        <v>24.768000000000001</v>
      </c>
      <c r="V264" s="1" t="s">
        <v>31</v>
      </c>
    </row>
    <row r="265" spans="1:22" x14ac:dyDescent="0.2">
      <c r="A265" s="1">
        <v>3433473</v>
      </c>
      <c r="B265" s="1" t="s">
        <v>1427</v>
      </c>
      <c r="C265" s="1" t="str">
        <f>"9788024624341"</f>
        <v>9788024624341</v>
      </c>
      <c r="D265" s="1" t="str">
        <f>"9788024624570"</f>
        <v>9788024624570</v>
      </c>
      <c r="E265" s="2" t="s">
        <v>84</v>
      </c>
      <c r="F265" s="2" t="s">
        <v>1393</v>
      </c>
      <c r="G265" s="1" t="s">
        <v>24</v>
      </c>
      <c r="J265" s="1" t="s">
        <v>1428</v>
      </c>
      <c r="K265" s="1" t="s">
        <v>79</v>
      </c>
      <c r="L265" s="1" t="s">
        <v>1429</v>
      </c>
      <c r="M265" s="1" t="s">
        <v>1430</v>
      </c>
      <c r="N265" s="1" t="s">
        <v>1431</v>
      </c>
      <c r="O265" s="1" t="s">
        <v>39</v>
      </c>
      <c r="P265" s="4">
        <v>14.68</v>
      </c>
      <c r="Q265" s="5">
        <f t="shared" si="12"/>
        <v>17.616</v>
      </c>
      <c r="R265" s="4">
        <v>18.350000000000001</v>
      </c>
      <c r="S265" s="5">
        <f t="shared" si="13"/>
        <v>22.02</v>
      </c>
      <c r="T265" s="4">
        <v>22.02</v>
      </c>
      <c r="U265" s="5">
        <f t="shared" si="14"/>
        <v>26.423999999999999</v>
      </c>
      <c r="V265" s="1" t="s">
        <v>31</v>
      </c>
    </row>
    <row r="266" spans="1:22" x14ac:dyDescent="0.2">
      <c r="A266" s="1">
        <v>3433475</v>
      </c>
      <c r="B266" s="1" t="s">
        <v>1432</v>
      </c>
      <c r="C266" s="1" t="str">
        <f>"9788024626604"</f>
        <v>9788024626604</v>
      </c>
      <c r="D266" s="1" t="str">
        <f>"9788024626727"</f>
        <v>9788024626727</v>
      </c>
      <c r="E266" s="2" t="s">
        <v>166</v>
      </c>
      <c r="F266" s="2" t="s">
        <v>1393</v>
      </c>
      <c r="G266" s="1" t="s">
        <v>24</v>
      </c>
      <c r="J266" s="1" t="s">
        <v>254</v>
      </c>
      <c r="K266" s="1" t="s">
        <v>79</v>
      </c>
      <c r="L266" s="1" t="s">
        <v>1433</v>
      </c>
      <c r="M266" s="1">
        <v>410</v>
      </c>
      <c r="N266" s="1" t="s">
        <v>1434</v>
      </c>
      <c r="O266" s="1" t="s">
        <v>39</v>
      </c>
      <c r="P266" s="4">
        <v>20.18</v>
      </c>
      <c r="Q266" s="5">
        <f t="shared" si="12"/>
        <v>24.215999999999998</v>
      </c>
      <c r="R266" s="4">
        <v>25.23</v>
      </c>
      <c r="S266" s="5">
        <f t="shared" si="13"/>
        <v>30.276</v>
      </c>
      <c r="T266" s="4">
        <v>30.28</v>
      </c>
      <c r="U266" s="5">
        <f t="shared" si="14"/>
        <v>36.335999999999999</v>
      </c>
      <c r="V266" s="1" t="s">
        <v>31</v>
      </c>
    </row>
    <row r="267" spans="1:22" x14ac:dyDescent="0.2">
      <c r="A267" s="1">
        <v>3433479</v>
      </c>
      <c r="B267" s="1" t="s">
        <v>1435</v>
      </c>
      <c r="C267" s="1" t="str">
        <f>"9788024627304"</f>
        <v>9788024627304</v>
      </c>
      <c r="D267" s="1" t="str">
        <f>"9788024627663"</f>
        <v>9788024627663</v>
      </c>
      <c r="E267" s="2" t="s">
        <v>868</v>
      </c>
      <c r="F267" s="2" t="s">
        <v>1393</v>
      </c>
      <c r="G267" s="1" t="s">
        <v>24</v>
      </c>
      <c r="J267" s="1" t="s">
        <v>1436</v>
      </c>
      <c r="K267" s="1" t="s">
        <v>1437</v>
      </c>
      <c r="L267" s="1" t="s">
        <v>1438</v>
      </c>
      <c r="M267" s="1" t="s">
        <v>1439</v>
      </c>
      <c r="N267" s="1" t="s">
        <v>1440</v>
      </c>
      <c r="O267" s="1" t="s">
        <v>171</v>
      </c>
      <c r="P267" s="4">
        <v>18.350000000000001</v>
      </c>
      <c r="Q267" s="5">
        <f t="shared" si="12"/>
        <v>22.02</v>
      </c>
      <c r="R267" s="4">
        <v>22.94</v>
      </c>
      <c r="S267" s="5">
        <f t="shared" si="13"/>
        <v>27.528000000000002</v>
      </c>
      <c r="T267" s="4">
        <v>27.52</v>
      </c>
      <c r="U267" s="5">
        <f t="shared" si="14"/>
        <v>33.024000000000001</v>
      </c>
      <c r="V267" s="1" t="s">
        <v>31</v>
      </c>
    </row>
    <row r="268" spans="1:22" x14ac:dyDescent="0.2">
      <c r="A268" s="1">
        <v>3433481</v>
      </c>
      <c r="B268" s="1" t="s">
        <v>1441</v>
      </c>
      <c r="C268" s="1" t="str">
        <f>"9788024628400"</f>
        <v>9788024628400</v>
      </c>
      <c r="D268" s="1" t="str">
        <f>"9788024628417"</f>
        <v>9788024628417</v>
      </c>
      <c r="E268" s="2" t="s">
        <v>1339</v>
      </c>
      <c r="F268" s="2" t="s">
        <v>1442</v>
      </c>
      <c r="G268" s="1" t="s">
        <v>24</v>
      </c>
      <c r="I268" s="1" t="s">
        <v>187</v>
      </c>
      <c r="J268" s="1" t="s">
        <v>1443</v>
      </c>
      <c r="K268" s="1" t="s">
        <v>181</v>
      </c>
      <c r="L268" s="1" t="s">
        <v>1444</v>
      </c>
      <c r="M268" s="1" t="s">
        <v>436</v>
      </c>
      <c r="N268" s="1" t="s">
        <v>1445</v>
      </c>
      <c r="O268" s="1" t="s">
        <v>767</v>
      </c>
      <c r="P268" s="4">
        <v>22.94</v>
      </c>
      <c r="Q268" s="5">
        <f t="shared" si="12"/>
        <v>27.528000000000002</v>
      </c>
      <c r="R268" s="4">
        <v>28.67</v>
      </c>
      <c r="S268" s="5">
        <f t="shared" si="13"/>
        <v>34.404000000000003</v>
      </c>
      <c r="T268" s="4">
        <v>34.4</v>
      </c>
      <c r="U268" s="5">
        <f t="shared" si="14"/>
        <v>41.279999999999994</v>
      </c>
      <c r="V268" s="1" t="s">
        <v>31</v>
      </c>
    </row>
    <row r="269" spans="1:22" x14ac:dyDescent="0.2">
      <c r="A269" s="1">
        <v>3433483</v>
      </c>
      <c r="B269" s="1" t="s">
        <v>1446</v>
      </c>
      <c r="C269" s="1" t="str">
        <f>"9788024627441"</f>
        <v>9788024627441</v>
      </c>
      <c r="D269" s="1" t="str">
        <f>"9788024627861"</f>
        <v>9788024627861</v>
      </c>
      <c r="E269" s="2" t="s">
        <v>1099</v>
      </c>
      <c r="F269" s="2" t="s">
        <v>1442</v>
      </c>
      <c r="G269" s="1" t="s">
        <v>24</v>
      </c>
      <c r="J269" s="1" t="s">
        <v>1447</v>
      </c>
      <c r="K269" s="1" t="s">
        <v>111</v>
      </c>
      <c r="L269" s="1" t="s">
        <v>1448</v>
      </c>
      <c r="M269" s="1" t="s">
        <v>784</v>
      </c>
      <c r="N269" s="1" t="s">
        <v>1449</v>
      </c>
      <c r="O269" s="1" t="s">
        <v>39</v>
      </c>
      <c r="P269" s="4">
        <v>13.76</v>
      </c>
      <c r="Q269" s="5">
        <f t="shared" si="12"/>
        <v>16.512</v>
      </c>
      <c r="R269" s="4">
        <v>17.2</v>
      </c>
      <c r="S269" s="5">
        <f t="shared" si="13"/>
        <v>20.639999999999997</v>
      </c>
      <c r="T269" s="4">
        <v>20.64</v>
      </c>
      <c r="U269" s="5">
        <f t="shared" si="14"/>
        <v>24.768000000000001</v>
      </c>
      <c r="V269" s="1" t="s">
        <v>31</v>
      </c>
    </row>
    <row r="270" spans="1:22" x14ac:dyDescent="0.2">
      <c r="A270" s="1">
        <v>3433484</v>
      </c>
      <c r="B270" s="1" t="s">
        <v>1450</v>
      </c>
      <c r="C270" s="1" t="str">
        <f>"9788024626673"</f>
        <v>9788024626673</v>
      </c>
      <c r="D270" s="1" t="str">
        <f>"9788024627526"</f>
        <v>9788024627526</v>
      </c>
      <c r="E270" s="2" t="s">
        <v>1020</v>
      </c>
      <c r="F270" s="2" t="s">
        <v>1451</v>
      </c>
      <c r="G270" s="1" t="s">
        <v>24</v>
      </c>
      <c r="J270" s="1" t="s">
        <v>1452</v>
      </c>
      <c r="K270" s="1" t="s">
        <v>1453</v>
      </c>
      <c r="L270" s="1" t="s">
        <v>1454</v>
      </c>
      <c r="M270" s="1" t="s">
        <v>1455</v>
      </c>
      <c r="N270" s="1" t="s">
        <v>1456</v>
      </c>
      <c r="O270" s="1" t="s">
        <v>39</v>
      </c>
      <c r="P270" s="4">
        <v>17.43</v>
      </c>
      <c r="Q270" s="5">
        <f t="shared" si="12"/>
        <v>20.916</v>
      </c>
      <c r="R270" s="4">
        <v>21.79</v>
      </c>
      <c r="S270" s="5">
        <f t="shared" si="13"/>
        <v>26.148</v>
      </c>
      <c r="T270" s="4">
        <v>26.15</v>
      </c>
      <c r="U270" s="5">
        <f t="shared" si="14"/>
        <v>31.379999999999995</v>
      </c>
      <c r="V270" s="1" t="s">
        <v>31</v>
      </c>
    </row>
    <row r="271" spans="1:22" x14ac:dyDescent="0.2">
      <c r="A271" s="1">
        <v>3433487</v>
      </c>
      <c r="B271" s="1" t="s">
        <v>1457</v>
      </c>
      <c r="C271" s="1" t="str">
        <f>"9788024630076"</f>
        <v>9788024630076</v>
      </c>
      <c r="D271" s="1" t="str">
        <f>"9788024630281"</f>
        <v>9788024630281</v>
      </c>
      <c r="E271" s="2" t="s">
        <v>1099</v>
      </c>
      <c r="F271" s="2" t="s">
        <v>1451</v>
      </c>
      <c r="G271" s="1" t="s">
        <v>24</v>
      </c>
      <c r="J271" s="1" t="s">
        <v>1458</v>
      </c>
      <c r="K271" s="1" t="s">
        <v>242</v>
      </c>
      <c r="L271" s="1" t="s">
        <v>1459</v>
      </c>
      <c r="M271" s="1" t="s">
        <v>1460</v>
      </c>
      <c r="N271" s="1" t="s">
        <v>1461</v>
      </c>
      <c r="O271" s="1" t="s">
        <v>39</v>
      </c>
      <c r="P271" s="4">
        <v>13.76</v>
      </c>
      <c r="Q271" s="5">
        <f t="shared" si="12"/>
        <v>16.512</v>
      </c>
      <c r="R271" s="4">
        <v>17.2</v>
      </c>
      <c r="S271" s="5">
        <f t="shared" si="13"/>
        <v>20.639999999999997</v>
      </c>
      <c r="T271" s="4">
        <v>20.64</v>
      </c>
      <c r="U271" s="5">
        <f t="shared" si="14"/>
        <v>24.768000000000001</v>
      </c>
      <c r="V271" s="1" t="s">
        <v>31</v>
      </c>
    </row>
    <row r="272" spans="1:22" x14ac:dyDescent="0.2">
      <c r="A272" s="1">
        <v>4395893</v>
      </c>
      <c r="B272" s="1" t="s">
        <v>1462</v>
      </c>
      <c r="C272" s="1" t="str">
        <f>"9788024626451"</f>
        <v>9788024626451</v>
      </c>
      <c r="D272" s="1" t="str">
        <f>"9788024626710"</f>
        <v>9788024626710</v>
      </c>
      <c r="E272" s="2" t="s">
        <v>1463</v>
      </c>
      <c r="F272" s="2" t="s">
        <v>1464</v>
      </c>
      <c r="G272" s="1" t="s">
        <v>24</v>
      </c>
      <c r="H272" s="1">
        <v>1</v>
      </c>
      <c r="J272" s="1" t="s">
        <v>1465</v>
      </c>
      <c r="K272" s="1" t="s">
        <v>124</v>
      </c>
      <c r="L272" s="1" t="s">
        <v>1466</v>
      </c>
      <c r="M272" s="1" t="s">
        <v>1467</v>
      </c>
      <c r="N272" s="1" t="s">
        <v>1468</v>
      </c>
      <c r="O272" s="1" t="s">
        <v>39</v>
      </c>
      <c r="P272" s="4">
        <v>16.510000000000002</v>
      </c>
      <c r="Q272" s="5">
        <f t="shared" si="12"/>
        <v>19.812000000000001</v>
      </c>
      <c r="R272" s="4">
        <v>20.64</v>
      </c>
      <c r="S272" s="5">
        <f t="shared" si="13"/>
        <v>24.768000000000001</v>
      </c>
      <c r="T272" s="4">
        <v>24.77</v>
      </c>
      <c r="U272" s="5">
        <f t="shared" si="14"/>
        <v>29.723999999999997</v>
      </c>
      <c r="V272" s="1" t="s">
        <v>31</v>
      </c>
    </row>
    <row r="273" spans="1:22" x14ac:dyDescent="0.2">
      <c r="A273" s="1">
        <v>4395894</v>
      </c>
      <c r="B273" s="1" t="s">
        <v>1469</v>
      </c>
      <c r="C273" s="1" t="str">
        <f>"9788024624945"</f>
        <v>9788024624945</v>
      </c>
      <c r="D273" s="1" t="str">
        <f>"9788024627601"</f>
        <v>9788024627601</v>
      </c>
      <c r="E273" s="2" t="s">
        <v>1470</v>
      </c>
      <c r="F273" s="2" t="s">
        <v>1464</v>
      </c>
      <c r="G273" s="1" t="s">
        <v>24</v>
      </c>
      <c r="H273" s="1">
        <v>1</v>
      </c>
      <c r="J273" s="1" t="s">
        <v>1471</v>
      </c>
      <c r="K273" s="1" t="s">
        <v>111</v>
      </c>
      <c r="L273" s="1" t="s">
        <v>1472</v>
      </c>
      <c r="M273" s="1">
        <v>954</v>
      </c>
      <c r="N273" s="1" t="s">
        <v>1473</v>
      </c>
      <c r="O273" s="1" t="s">
        <v>39</v>
      </c>
      <c r="P273" s="4">
        <v>13.76</v>
      </c>
      <c r="Q273" s="5">
        <f t="shared" si="12"/>
        <v>16.512</v>
      </c>
      <c r="R273" s="4">
        <v>17.2</v>
      </c>
      <c r="S273" s="5">
        <f t="shared" si="13"/>
        <v>20.639999999999997</v>
      </c>
      <c r="T273" s="4">
        <v>20.64</v>
      </c>
      <c r="U273" s="5">
        <f t="shared" si="14"/>
        <v>24.768000000000001</v>
      </c>
      <c r="V273" s="1" t="s">
        <v>31</v>
      </c>
    </row>
    <row r="274" spans="1:22" x14ac:dyDescent="0.2">
      <c r="A274" s="1">
        <v>4395895</v>
      </c>
      <c r="B274" s="1" t="s">
        <v>1474</v>
      </c>
      <c r="C274" s="1" t="str">
        <f>"9788024628127"</f>
        <v>9788024628127</v>
      </c>
      <c r="D274" s="1" t="str">
        <f>"9788024628349"</f>
        <v>9788024628349</v>
      </c>
      <c r="E274" s="2" t="s">
        <v>1463</v>
      </c>
      <c r="F274" s="2" t="s">
        <v>1464</v>
      </c>
      <c r="G274" s="1" t="s">
        <v>24</v>
      </c>
      <c r="H274" s="1">
        <v>1</v>
      </c>
      <c r="J274" s="1" t="s">
        <v>1475</v>
      </c>
      <c r="K274" s="1" t="s">
        <v>79</v>
      </c>
      <c r="L274" s="1" t="s">
        <v>1476</v>
      </c>
      <c r="M274" s="1" t="s">
        <v>1477</v>
      </c>
      <c r="N274" s="1" t="s">
        <v>1478</v>
      </c>
      <c r="O274" s="1" t="s">
        <v>39</v>
      </c>
      <c r="P274" s="4">
        <v>16.510000000000002</v>
      </c>
      <c r="Q274" s="5">
        <f t="shared" si="12"/>
        <v>19.812000000000001</v>
      </c>
      <c r="R274" s="4">
        <v>20.64</v>
      </c>
      <c r="S274" s="5">
        <f t="shared" si="13"/>
        <v>24.768000000000001</v>
      </c>
      <c r="T274" s="4">
        <v>24.77</v>
      </c>
      <c r="U274" s="5">
        <f t="shared" si="14"/>
        <v>29.723999999999997</v>
      </c>
      <c r="V274" s="1" t="s">
        <v>31</v>
      </c>
    </row>
    <row r="275" spans="1:22" x14ac:dyDescent="0.2">
      <c r="A275" s="1">
        <v>4395896</v>
      </c>
      <c r="B275" s="1" t="s">
        <v>1479</v>
      </c>
      <c r="C275" s="1" t="str">
        <f>"9788024628790"</f>
        <v>9788024628790</v>
      </c>
      <c r="D275" s="1" t="str">
        <f>"9788024629179"</f>
        <v>9788024629179</v>
      </c>
      <c r="E275" s="2" t="s">
        <v>1480</v>
      </c>
      <c r="F275" s="2" t="s">
        <v>1464</v>
      </c>
      <c r="G275" s="1" t="s">
        <v>24</v>
      </c>
      <c r="H275" s="1">
        <v>1</v>
      </c>
      <c r="J275" s="1" t="s">
        <v>1481</v>
      </c>
      <c r="K275" s="1" t="s">
        <v>79</v>
      </c>
      <c r="L275" s="1" t="s">
        <v>1482</v>
      </c>
      <c r="M275" s="1">
        <v>415</v>
      </c>
      <c r="N275" s="1" t="s">
        <v>1483</v>
      </c>
      <c r="O275" s="1" t="s">
        <v>30</v>
      </c>
      <c r="P275" s="4">
        <v>21.1</v>
      </c>
      <c r="Q275" s="5">
        <f t="shared" si="12"/>
        <v>25.32</v>
      </c>
      <c r="R275" s="4">
        <v>26.38</v>
      </c>
      <c r="S275" s="5">
        <f t="shared" si="13"/>
        <v>31.655999999999999</v>
      </c>
      <c r="T275" s="4">
        <v>31.65</v>
      </c>
      <c r="U275" s="5">
        <f t="shared" si="14"/>
        <v>37.979999999999997</v>
      </c>
      <c r="V275" s="1" t="s">
        <v>31</v>
      </c>
    </row>
    <row r="276" spans="1:22" x14ac:dyDescent="0.2">
      <c r="A276" s="1">
        <v>4395897</v>
      </c>
      <c r="B276" s="1" t="s">
        <v>1484</v>
      </c>
      <c r="C276" s="1" t="str">
        <f>"9788024629414"</f>
        <v>9788024629414</v>
      </c>
      <c r="D276" s="1" t="str">
        <f>"9788024629728"</f>
        <v>9788024629728</v>
      </c>
      <c r="E276" s="2" t="s">
        <v>1480</v>
      </c>
      <c r="F276" s="2" t="s">
        <v>1464</v>
      </c>
      <c r="G276" s="1" t="s">
        <v>24</v>
      </c>
      <c r="H276" s="1">
        <v>1</v>
      </c>
      <c r="J276" s="1" t="s">
        <v>1485</v>
      </c>
      <c r="K276" s="1" t="s">
        <v>118</v>
      </c>
      <c r="L276" s="1" t="s">
        <v>1486</v>
      </c>
      <c r="M276" s="1" t="s">
        <v>1487</v>
      </c>
      <c r="N276" s="1" t="s">
        <v>1488</v>
      </c>
      <c r="O276" s="1" t="s">
        <v>39</v>
      </c>
      <c r="P276" s="4">
        <v>13.76</v>
      </c>
      <c r="Q276" s="5">
        <f t="shared" si="12"/>
        <v>16.512</v>
      </c>
      <c r="R276" s="4">
        <v>17.2</v>
      </c>
      <c r="S276" s="5">
        <f t="shared" si="13"/>
        <v>20.639999999999997</v>
      </c>
      <c r="T276" s="4">
        <v>20.64</v>
      </c>
      <c r="U276" s="5">
        <f t="shared" si="14"/>
        <v>24.768000000000001</v>
      </c>
      <c r="V276" s="1" t="s">
        <v>31</v>
      </c>
    </row>
    <row r="277" spans="1:22" x14ac:dyDescent="0.2">
      <c r="A277" s="1">
        <v>4395898</v>
      </c>
      <c r="B277" s="1" t="s">
        <v>1489</v>
      </c>
      <c r="C277" s="1" t="str">
        <f>"9788024630748"</f>
        <v>9788024630748</v>
      </c>
      <c r="D277" s="1" t="str">
        <f>"9788024630809"</f>
        <v>9788024630809</v>
      </c>
      <c r="E277" s="2" t="s">
        <v>1470</v>
      </c>
      <c r="F277" s="2" t="s">
        <v>1490</v>
      </c>
      <c r="G277" s="1" t="s">
        <v>24</v>
      </c>
      <c r="H277" s="1">
        <v>1</v>
      </c>
      <c r="J277" s="1" t="s">
        <v>1491</v>
      </c>
      <c r="K277" s="1" t="s">
        <v>79</v>
      </c>
      <c r="L277" s="1" t="s">
        <v>1492</v>
      </c>
      <c r="N277" s="1" t="s">
        <v>1493</v>
      </c>
      <c r="O277" s="1" t="s">
        <v>39</v>
      </c>
      <c r="P277" s="4">
        <v>17.43</v>
      </c>
      <c r="Q277" s="5">
        <f t="shared" si="12"/>
        <v>20.916</v>
      </c>
      <c r="R277" s="4">
        <v>21.79</v>
      </c>
      <c r="S277" s="5">
        <f t="shared" si="13"/>
        <v>26.148</v>
      </c>
      <c r="T277" s="4">
        <v>26.15</v>
      </c>
      <c r="U277" s="5">
        <f t="shared" si="14"/>
        <v>31.379999999999995</v>
      </c>
      <c r="V277" s="1" t="s">
        <v>32</v>
      </c>
    </row>
    <row r="278" spans="1:22" x14ac:dyDescent="0.2">
      <c r="A278" s="1">
        <v>4395899</v>
      </c>
      <c r="B278" s="1" t="s">
        <v>1494</v>
      </c>
      <c r="C278" s="1" t="str">
        <f>"9788024622118"</f>
        <v>9788024622118</v>
      </c>
      <c r="D278" s="1" t="str">
        <f>"9788024630816"</f>
        <v>9788024630816</v>
      </c>
      <c r="E278" s="2" t="s">
        <v>55</v>
      </c>
      <c r="F278" s="2" t="s">
        <v>1464</v>
      </c>
      <c r="G278" s="1" t="s">
        <v>24</v>
      </c>
      <c r="H278" s="1">
        <v>1</v>
      </c>
      <c r="J278" s="1" t="s">
        <v>326</v>
      </c>
      <c r="K278" s="1" t="s">
        <v>124</v>
      </c>
      <c r="L278" s="1" t="s">
        <v>1495</v>
      </c>
      <c r="M278" s="1" t="s">
        <v>1496</v>
      </c>
      <c r="N278" s="1" t="s">
        <v>1497</v>
      </c>
      <c r="O278" s="1" t="s">
        <v>30</v>
      </c>
      <c r="P278" s="4">
        <v>13.76</v>
      </c>
      <c r="Q278" s="5">
        <f t="shared" si="12"/>
        <v>16.512</v>
      </c>
      <c r="R278" s="4">
        <v>17.2</v>
      </c>
      <c r="S278" s="5">
        <f t="shared" si="13"/>
        <v>20.639999999999997</v>
      </c>
      <c r="T278" s="4">
        <v>20.64</v>
      </c>
      <c r="U278" s="5">
        <f t="shared" si="14"/>
        <v>24.768000000000001</v>
      </c>
      <c r="V278" s="1" t="s">
        <v>31</v>
      </c>
    </row>
    <row r="279" spans="1:22" x14ac:dyDescent="0.2">
      <c r="A279" s="1">
        <v>4395900</v>
      </c>
      <c r="B279" s="1" t="s">
        <v>1498</v>
      </c>
      <c r="C279" s="1" t="str">
        <f>"9788024630717"</f>
        <v>9788024630717</v>
      </c>
      <c r="D279" s="1" t="str">
        <f>"9788024630830"</f>
        <v>9788024630830</v>
      </c>
      <c r="E279" s="2" t="s">
        <v>1470</v>
      </c>
      <c r="F279" s="2" t="s">
        <v>1464</v>
      </c>
      <c r="G279" s="1" t="s">
        <v>24</v>
      </c>
      <c r="H279" s="1">
        <v>1</v>
      </c>
      <c r="J279" s="1" t="s">
        <v>1499</v>
      </c>
      <c r="K279" s="1" t="s">
        <v>260</v>
      </c>
      <c r="L279" s="1" t="s">
        <v>1500</v>
      </c>
      <c r="M279" s="1" t="s">
        <v>1501</v>
      </c>
      <c r="N279" s="1" t="s">
        <v>1502</v>
      </c>
      <c r="O279" s="1" t="s">
        <v>39</v>
      </c>
      <c r="P279" s="4">
        <v>13.76</v>
      </c>
      <c r="Q279" s="5">
        <f t="shared" si="12"/>
        <v>16.512</v>
      </c>
      <c r="R279" s="4">
        <v>17.2</v>
      </c>
      <c r="S279" s="5">
        <f t="shared" si="13"/>
        <v>20.639999999999997</v>
      </c>
      <c r="T279" s="4">
        <v>20.64</v>
      </c>
      <c r="U279" s="5">
        <f t="shared" si="14"/>
        <v>24.768000000000001</v>
      </c>
      <c r="V279" s="1" t="s">
        <v>31</v>
      </c>
    </row>
    <row r="280" spans="1:22" x14ac:dyDescent="0.2">
      <c r="A280" s="1">
        <v>4395901</v>
      </c>
      <c r="B280" s="1" t="s">
        <v>1503</v>
      </c>
      <c r="C280" s="1" t="str">
        <f>"9788024625713"</f>
        <v>9788024625713</v>
      </c>
      <c r="D280" s="1" t="str">
        <f>"9788024627113"</f>
        <v>9788024627113</v>
      </c>
      <c r="E280" s="2" t="s">
        <v>1480</v>
      </c>
      <c r="F280" s="2" t="s">
        <v>1490</v>
      </c>
      <c r="G280" s="1" t="s">
        <v>24</v>
      </c>
      <c r="H280" s="1">
        <v>1</v>
      </c>
      <c r="J280" s="1" t="s">
        <v>1504</v>
      </c>
      <c r="K280" s="1" t="s">
        <v>36</v>
      </c>
      <c r="L280" s="1" t="s">
        <v>1505</v>
      </c>
      <c r="M280" s="1" t="s">
        <v>196</v>
      </c>
      <c r="N280" s="1" t="s">
        <v>1506</v>
      </c>
      <c r="O280" s="1" t="s">
        <v>30</v>
      </c>
      <c r="P280" s="4">
        <v>22.94</v>
      </c>
      <c r="Q280" s="5">
        <f t="shared" si="12"/>
        <v>27.528000000000002</v>
      </c>
      <c r="R280" s="4">
        <v>28.67</v>
      </c>
      <c r="S280" s="5">
        <f t="shared" si="13"/>
        <v>34.404000000000003</v>
      </c>
      <c r="T280" s="4">
        <v>34.4</v>
      </c>
      <c r="U280" s="5">
        <f t="shared" si="14"/>
        <v>41.279999999999994</v>
      </c>
      <c r="V280" s="1" t="s">
        <v>31</v>
      </c>
    </row>
    <row r="281" spans="1:22" x14ac:dyDescent="0.2">
      <c r="A281" s="1">
        <v>4395902</v>
      </c>
      <c r="B281" s="1" t="s">
        <v>1507</v>
      </c>
      <c r="C281" s="1" t="str">
        <f>"9788024609218"</f>
        <v>9788024609218</v>
      </c>
      <c r="D281" s="1" t="str">
        <f>"9788024629223"</f>
        <v>9788024629223</v>
      </c>
      <c r="E281" s="2" t="s">
        <v>1508</v>
      </c>
      <c r="F281" s="2" t="s">
        <v>1464</v>
      </c>
      <c r="G281" s="1" t="s">
        <v>24</v>
      </c>
      <c r="H281" s="1">
        <v>1</v>
      </c>
      <c r="J281" s="1" t="s">
        <v>1509</v>
      </c>
      <c r="K281" s="1" t="s">
        <v>124</v>
      </c>
      <c r="L281" s="1" t="s">
        <v>1510</v>
      </c>
      <c r="M281" s="1" t="s">
        <v>1511</v>
      </c>
      <c r="N281" s="1" t="s">
        <v>1512</v>
      </c>
      <c r="O281" s="1" t="s">
        <v>39</v>
      </c>
      <c r="P281" s="4">
        <v>13.76</v>
      </c>
      <c r="Q281" s="5">
        <f t="shared" si="12"/>
        <v>16.512</v>
      </c>
      <c r="R281" s="4">
        <v>17.2</v>
      </c>
      <c r="S281" s="5">
        <f t="shared" si="13"/>
        <v>20.639999999999997</v>
      </c>
      <c r="T281" s="4">
        <v>20.64</v>
      </c>
      <c r="U281" s="5">
        <f t="shared" si="14"/>
        <v>24.768000000000001</v>
      </c>
      <c r="V281" s="1" t="s">
        <v>31</v>
      </c>
    </row>
    <row r="282" spans="1:22" x14ac:dyDescent="0.2">
      <c r="A282" s="1">
        <v>4395903</v>
      </c>
      <c r="B282" s="1" t="s">
        <v>1513</v>
      </c>
      <c r="C282" s="1" t="str">
        <f>"9788024629988"</f>
        <v>9788024629988</v>
      </c>
      <c r="D282" s="1" t="str">
        <f>"9788024630113"</f>
        <v>9788024630113</v>
      </c>
      <c r="E282" s="2" t="s">
        <v>1514</v>
      </c>
      <c r="F282" s="2" t="s">
        <v>1464</v>
      </c>
      <c r="G282" s="1" t="s">
        <v>24</v>
      </c>
      <c r="H282" s="1">
        <v>1</v>
      </c>
      <c r="J282" s="1" t="s">
        <v>1515</v>
      </c>
      <c r="K282" s="1" t="s">
        <v>1516</v>
      </c>
      <c r="L282" s="1" t="s">
        <v>1517</v>
      </c>
      <c r="M282" s="1" t="s">
        <v>1518</v>
      </c>
      <c r="N282" s="1" t="s">
        <v>1519</v>
      </c>
      <c r="O282" s="1" t="s">
        <v>39</v>
      </c>
      <c r="P282" s="4">
        <v>22.02</v>
      </c>
      <c r="Q282" s="5">
        <f t="shared" si="12"/>
        <v>26.423999999999999</v>
      </c>
      <c r="R282" s="4">
        <v>27.52</v>
      </c>
      <c r="S282" s="5">
        <f t="shared" si="13"/>
        <v>33.024000000000001</v>
      </c>
      <c r="T282" s="4">
        <v>33.03</v>
      </c>
      <c r="U282" s="5">
        <f t="shared" si="14"/>
        <v>39.636000000000003</v>
      </c>
      <c r="V282" s="1" t="s">
        <v>31</v>
      </c>
    </row>
    <row r="283" spans="1:22" x14ac:dyDescent="0.2">
      <c r="A283" s="1">
        <v>4395904</v>
      </c>
      <c r="B283" s="1" t="s">
        <v>1520</v>
      </c>
      <c r="C283" s="1" t="str">
        <f>"9788024630922"</f>
        <v>9788024630922</v>
      </c>
      <c r="D283" s="1" t="str">
        <f>"9788024631080"</f>
        <v>9788024631080</v>
      </c>
      <c r="E283" s="2" t="s">
        <v>1514</v>
      </c>
      <c r="F283" s="2" t="s">
        <v>1464</v>
      </c>
      <c r="G283" s="1" t="s">
        <v>24</v>
      </c>
      <c r="H283" s="1">
        <v>1</v>
      </c>
      <c r="J283" s="1" t="s">
        <v>1521</v>
      </c>
      <c r="K283" s="1" t="s">
        <v>174</v>
      </c>
      <c r="L283" s="1" t="s">
        <v>1522</v>
      </c>
      <c r="M283" s="1" t="s">
        <v>1523</v>
      </c>
      <c r="N283" s="1" t="s">
        <v>1524</v>
      </c>
      <c r="O283" s="1" t="s">
        <v>39</v>
      </c>
      <c r="P283" s="4">
        <v>15.6</v>
      </c>
      <c r="Q283" s="5">
        <f t="shared" si="12"/>
        <v>18.72</v>
      </c>
      <c r="R283" s="4">
        <v>19.5</v>
      </c>
      <c r="S283" s="5">
        <f t="shared" si="13"/>
        <v>23.4</v>
      </c>
      <c r="T283" s="4">
        <v>23.39</v>
      </c>
      <c r="U283" s="5">
        <f t="shared" si="14"/>
        <v>28.068000000000001</v>
      </c>
      <c r="V283" s="1" t="s">
        <v>31</v>
      </c>
    </row>
    <row r="284" spans="1:22" x14ac:dyDescent="0.2">
      <c r="A284" s="1">
        <v>4395905</v>
      </c>
      <c r="B284" s="1" t="s">
        <v>1525</v>
      </c>
      <c r="C284" s="1" t="str">
        <f>"9788024631004"</f>
        <v>9788024631004</v>
      </c>
      <c r="D284" s="1" t="str">
        <f>"9788024631127"</f>
        <v>9788024631127</v>
      </c>
      <c r="E284" s="2" t="s">
        <v>1514</v>
      </c>
      <c r="F284" s="2" t="s">
        <v>1464</v>
      </c>
      <c r="G284" s="1" t="s">
        <v>24</v>
      </c>
      <c r="H284" s="1">
        <v>1</v>
      </c>
      <c r="J284" s="1" t="s">
        <v>1526</v>
      </c>
      <c r="K284" s="1" t="s">
        <v>150</v>
      </c>
      <c r="L284" s="1" t="s">
        <v>1527</v>
      </c>
      <c r="M284" s="1" t="s">
        <v>1528</v>
      </c>
      <c r="N284" s="1" t="s">
        <v>1529</v>
      </c>
      <c r="O284" s="1" t="s">
        <v>39</v>
      </c>
      <c r="P284" s="4">
        <v>18.350000000000001</v>
      </c>
      <c r="Q284" s="5">
        <f t="shared" si="12"/>
        <v>22.02</v>
      </c>
      <c r="R284" s="4">
        <v>22.94</v>
      </c>
      <c r="S284" s="5">
        <f t="shared" si="13"/>
        <v>27.528000000000002</v>
      </c>
      <c r="T284" s="4">
        <v>27.52</v>
      </c>
      <c r="U284" s="5">
        <f t="shared" si="14"/>
        <v>33.024000000000001</v>
      </c>
      <c r="V284" s="1" t="s">
        <v>31</v>
      </c>
    </row>
    <row r="285" spans="1:22" x14ac:dyDescent="0.2">
      <c r="A285" s="1">
        <v>4395906</v>
      </c>
      <c r="B285" s="1" t="s">
        <v>1530</v>
      </c>
      <c r="C285" s="1" t="str">
        <f>"9788024626369"</f>
        <v>9788024626369</v>
      </c>
      <c r="D285" s="1" t="str">
        <f>"9788024626529"</f>
        <v>9788024626529</v>
      </c>
      <c r="E285" s="2" t="s">
        <v>122</v>
      </c>
      <c r="F285" s="2" t="s">
        <v>1464</v>
      </c>
      <c r="G285" s="1" t="s">
        <v>24</v>
      </c>
      <c r="H285" s="1">
        <v>1</v>
      </c>
      <c r="J285" s="1" t="s">
        <v>1531</v>
      </c>
      <c r="K285" s="1" t="s">
        <v>260</v>
      </c>
      <c r="L285" s="1" t="s">
        <v>1532</v>
      </c>
      <c r="M285" s="1" t="s">
        <v>1533</v>
      </c>
      <c r="N285" s="1" t="s">
        <v>1534</v>
      </c>
      <c r="O285" s="1" t="s">
        <v>39</v>
      </c>
      <c r="P285" s="4">
        <v>13.76</v>
      </c>
      <c r="Q285" s="5">
        <f t="shared" si="12"/>
        <v>16.512</v>
      </c>
      <c r="R285" s="4">
        <v>17.2</v>
      </c>
      <c r="S285" s="5">
        <f t="shared" si="13"/>
        <v>20.639999999999997</v>
      </c>
      <c r="T285" s="4">
        <v>20.64</v>
      </c>
      <c r="U285" s="5">
        <f t="shared" si="14"/>
        <v>24.768000000000001</v>
      </c>
      <c r="V285" s="1" t="s">
        <v>31</v>
      </c>
    </row>
    <row r="286" spans="1:22" x14ac:dyDescent="0.2">
      <c r="A286" s="1">
        <v>4395907</v>
      </c>
      <c r="B286" s="1" t="s">
        <v>1535</v>
      </c>
      <c r="C286" s="1" t="str">
        <f>"9788024621951"</f>
        <v>9788024621951</v>
      </c>
      <c r="D286" s="1" t="str">
        <f>"9788024627403"</f>
        <v>9788024627403</v>
      </c>
      <c r="E286" s="2" t="s">
        <v>116</v>
      </c>
      <c r="F286" s="2" t="s">
        <v>1464</v>
      </c>
      <c r="G286" s="1" t="s">
        <v>24</v>
      </c>
      <c r="H286" s="1">
        <v>1</v>
      </c>
      <c r="J286" s="1" t="s">
        <v>1536</v>
      </c>
      <c r="K286" s="1" t="s">
        <v>79</v>
      </c>
      <c r="L286" s="1" t="s">
        <v>1537</v>
      </c>
      <c r="M286" s="1" t="s">
        <v>457</v>
      </c>
      <c r="N286" s="1" t="s">
        <v>1538</v>
      </c>
      <c r="O286" s="1" t="s">
        <v>39</v>
      </c>
      <c r="P286" s="4">
        <v>13.76</v>
      </c>
      <c r="Q286" s="5">
        <f t="shared" si="12"/>
        <v>16.512</v>
      </c>
      <c r="R286" s="4">
        <v>17.2</v>
      </c>
      <c r="S286" s="5">
        <f t="shared" si="13"/>
        <v>20.639999999999997</v>
      </c>
      <c r="T286" s="4">
        <v>20.64</v>
      </c>
      <c r="U286" s="5">
        <f t="shared" si="14"/>
        <v>24.768000000000001</v>
      </c>
      <c r="V286" s="1" t="s">
        <v>31</v>
      </c>
    </row>
    <row r="287" spans="1:22" x14ac:dyDescent="0.2">
      <c r="A287" s="1">
        <v>4395908</v>
      </c>
      <c r="B287" s="1" t="s">
        <v>1539</v>
      </c>
      <c r="C287" s="1" t="str">
        <f>"9788024628202"</f>
        <v>9788024628202</v>
      </c>
      <c r="D287" s="1" t="str">
        <f>"9788024628370"</f>
        <v>9788024628370</v>
      </c>
      <c r="E287" s="2" t="s">
        <v>868</v>
      </c>
      <c r="F287" s="2" t="s">
        <v>1464</v>
      </c>
      <c r="G287" s="1" t="s">
        <v>24</v>
      </c>
      <c r="H287" s="1">
        <v>1</v>
      </c>
      <c r="J287" s="1" t="s">
        <v>1540</v>
      </c>
      <c r="K287" s="1" t="s">
        <v>809</v>
      </c>
      <c r="L287" s="1" t="s">
        <v>1541</v>
      </c>
      <c r="M287" s="1">
        <v>611</v>
      </c>
      <c r="N287" s="1" t="s">
        <v>1542</v>
      </c>
      <c r="O287" s="1" t="s">
        <v>30</v>
      </c>
      <c r="P287" s="4">
        <v>13.76</v>
      </c>
      <c r="Q287" s="5">
        <f t="shared" si="12"/>
        <v>16.512</v>
      </c>
      <c r="R287" s="4">
        <v>17.2</v>
      </c>
      <c r="S287" s="5">
        <f t="shared" si="13"/>
        <v>20.639999999999997</v>
      </c>
      <c r="T287" s="4">
        <v>20.64</v>
      </c>
      <c r="U287" s="5">
        <f t="shared" si="14"/>
        <v>24.768000000000001</v>
      </c>
      <c r="V287" s="1" t="s">
        <v>31</v>
      </c>
    </row>
    <row r="288" spans="1:22" x14ac:dyDescent="0.2">
      <c r="A288" s="1">
        <v>4395909</v>
      </c>
      <c r="B288" s="1" t="s">
        <v>1543</v>
      </c>
      <c r="C288" s="1" t="str">
        <f>"9788024628394"</f>
        <v>9788024628394</v>
      </c>
      <c r="D288" s="1" t="str">
        <f>"9788024628745"</f>
        <v>9788024628745</v>
      </c>
      <c r="E288" s="2" t="s">
        <v>1544</v>
      </c>
      <c r="F288" s="2" t="s">
        <v>1464</v>
      </c>
      <c r="G288" s="1" t="s">
        <v>24</v>
      </c>
      <c r="H288" s="1">
        <v>1</v>
      </c>
      <c r="J288" s="1" t="s">
        <v>1545</v>
      </c>
      <c r="K288" s="1" t="s">
        <v>124</v>
      </c>
      <c r="L288" s="1" t="s">
        <v>1546</v>
      </c>
      <c r="M288" s="1" t="s">
        <v>1547</v>
      </c>
      <c r="N288" s="1" t="s">
        <v>1548</v>
      </c>
      <c r="O288" s="1" t="s">
        <v>39</v>
      </c>
      <c r="P288" s="4">
        <v>13.76</v>
      </c>
      <c r="Q288" s="5">
        <f t="shared" si="12"/>
        <v>16.512</v>
      </c>
      <c r="R288" s="4">
        <v>17.2</v>
      </c>
      <c r="S288" s="5">
        <f t="shared" si="13"/>
        <v>20.639999999999997</v>
      </c>
      <c r="T288" s="4">
        <v>20.64</v>
      </c>
      <c r="U288" s="5">
        <f t="shared" si="14"/>
        <v>24.768000000000001</v>
      </c>
      <c r="V288" s="1" t="s">
        <v>31</v>
      </c>
    </row>
    <row r="289" spans="1:22" x14ac:dyDescent="0.2">
      <c r="A289" s="1">
        <v>4395910</v>
      </c>
      <c r="B289" s="1" t="s">
        <v>1549</v>
      </c>
      <c r="C289" s="1" t="str">
        <f>"9788024629339"</f>
        <v>9788024629339</v>
      </c>
      <c r="D289" s="1" t="str">
        <f>"9788024629483"</f>
        <v>9788024629483</v>
      </c>
      <c r="E289" s="2" t="s">
        <v>1020</v>
      </c>
      <c r="F289" s="2" t="s">
        <v>1464</v>
      </c>
      <c r="G289" s="1" t="s">
        <v>24</v>
      </c>
      <c r="H289" s="1">
        <v>1</v>
      </c>
      <c r="J289" s="1" t="s">
        <v>1550</v>
      </c>
      <c r="K289" s="1" t="s">
        <v>1551</v>
      </c>
      <c r="L289" s="1" t="s">
        <v>1552</v>
      </c>
      <c r="M289" s="1">
        <v>160</v>
      </c>
      <c r="N289" s="1" t="s">
        <v>1553</v>
      </c>
      <c r="O289" s="1" t="s">
        <v>39</v>
      </c>
      <c r="P289" s="4">
        <v>13.76</v>
      </c>
      <c r="Q289" s="5">
        <f t="shared" si="12"/>
        <v>16.512</v>
      </c>
      <c r="R289" s="4">
        <v>17.2</v>
      </c>
      <c r="S289" s="5">
        <f t="shared" si="13"/>
        <v>20.639999999999997</v>
      </c>
      <c r="T289" s="4">
        <v>20.64</v>
      </c>
      <c r="U289" s="5">
        <f t="shared" si="14"/>
        <v>24.768000000000001</v>
      </c>
      <c r="V289" s="1" t="s">
        <v>31</v>
      </c>
    </row>
    <row r="290" spans="1:22" x14ac:dyDescent="0.2">
      <c r="A290" s="1">
        <v>4395911</v>
      </c>
      <c r="B290" s="1" t="s">
        <v>1554</v>
      </c>
      <c r="C290" s="1" t="str">
        <f>"9788024629322"</f>
        <v>9788024629322</v>
      </c>
      <c r="D290" s="1" t="str">
        <f>"9788024629568"</f>
        <v>9788024629568</v>
      </c>
      <c r="E290" s="2" t="s">
        <v>1480</v>
      </c>
      <c r="F290" s="2" t="s">
        <v>1464</v>
      </c>
      <c r="G290" s="1" t="s">
        <v>24</v>
      </c>
      <c r="H290" s="1">
        <v>1</v>
      </c>
      <c r="J290" s="1" t="s">
        <v>1555</v>
      </c>
      <c r="K290" s="1" t="s">
        <v>124</v>
      </c>
      <c r="L290" s="1" t="s">
        <v>1556</v>
      </c>
      <c r="M290" s="1" t="s">
        <v>1557</v>
      </c>
      <c r="N290" s="1" t="s">
        <v>1558</v>
      </c>
      <c r="O290" s="1" t="s">
        <v>39</v>
      </c>
      <c r="P290" s="4">
        <v>21.1</v>
      </c>
      <c r="Q290" s="5">
        <f t="shared" si="12"/>
        <v>25.32</v>
      </c>
      <c r="R290" s="4">
        <v>26.38</v>
      </c>
      <c r="S290" s="5">
        <f t="shared" si="13"/>
        <v>31.655999999999999</v>
      </c>
      <c r="T290" s="4">
        <v>31.65</v>
      </c>
      <c r="U290" s="5">
        <f t="shared" si="14"/>
        <v>37.979999999999997</v>
      </c>
      <c r="V290" s="1" t="s">
        <v>31</v>
      </c>
    </row>
    <row r="291" spans="1:22" x14ac:dyDescent="0.2">
      <c r="A291" s="1">
        <v>4395912</v>
      </c>
      <c r="B291" s="1" t="s">
        <v>1559</v>
      </c>
      <c r="C291" s="1" t="str">
        <f>"9788024629643"</f>
        <v>9788024629643</v>
      </c>
      <c r="D291" s="1" t="str">
        <f>"9788024629674"</f>
        <v>9788024629674</v>
      </c>
      <c r="E291" s="2" t="s">
        <v>1544</v>
      </c>
      <c r="F291" s="2" t="s">
        <v>1490</v>
      </c>
      <c r="G291" s="1" t="s">
        <v>24</v>
      </c>
      <c r="H291" s="1">
        <v>1</v>
      </c>
      <c r="J291" s="1" t="s">
        <v>1560</v>
      </c>
      <c r="K291" s="1" t="s">
        <v>72</v>
      </c>
      <c r="O291" s="1" t="s">
        <v>39</v>
      </c>
      <c r="P291" s="4">
        <v>13.76</v>
      </c>
      <c r="Q291" s="5">
        <f t="shared" si="12"/>
        <v>16.512</v>
      </c>
      <c r="R291" s="4">
        <v>17.2</v>
      </c>
      <c r="S291" s="5">
        <f t="shared" si="13"/>
        <v>20.639999999999997</v>
      </c>
      <c r="T291" s="4">
        <v>20.64</v>
      </c>
      <c r="U291" s="5">
        <f t="shared" si="14"/>
        <v>24.768000000000001</v>
      </c>
      <c r="V291" s="1" t="s">
        <v>32</v>
      </c>
    </row>
    <row r="292" spans="1:22" x14ac:dyDescent="0.2">
      <c r="A292" s="1">
        <v>4395913</v>
      </c>
      <c r="B292" s="1" t="s">
        <v>1561</v>
      </c>
      <c r="C292" s="1" t="str">
        <f>"9788024629629"</f>
        <v>9788024629629</v>
      </c>
      <c r="D292" s="1" t="str">
        <f>"9788024629803"</f>
        <v>9788024629803</v>
      </c>
      <c r="E292" s="2" t="s">
        <v>1480</v>
      </c>
      <c r="F292" s="2" t="s">
        <v>1464</v>
      </c>
      <c r="G292" s="1" t="s">
        <v>24</v>
      </c>
      <c r="H292" s="1">
        <v>1</v>
      </c>
      <c r="J292" s="1" t="s">
        <v>1562</v>
      </c>
      <c r="K292" s="1" t="s">
        <v>150</v>
      </c>
      <c r="L292" s="1" t="s">
        <v>1563</v>
      </c>
      <c r="M292" s="1" t="s">
        <v>1564</v>
      </c>
      <c r="N292" s="1" t="s">
        <v>1565</v>
      </c>
      <c r="O292" s="1" t="s">
        <v>39</v>
      </c>
      <c r="P292" s="4">
        <v>13.76</v>
      </c>
      <c r="Q292" s="5">
        <f t="shared" si="12"/>
        <v>16.512</v>
      </c>
      <c r="R292" s="4">
        <v>17.2</v>
      </c>
      <c r="S292" s="5">
        <f t="shared" si="13"/>
        <v>20.639999999999997</v>
      </c>
      <c r="T292" s="4">
        <v>20.64</v>
      </c>
      <c r="U292" s="5">
        <f t="shared" si="14"/>
        <v>24.768000000000001</v>
      </c>
      <c r="V292" s="1" t="s">
        <v>31</v>
      </c>
    </row>
    <row r="293" spans="1:22" x14ac:dyDescent="0.2">
      <c r="A293" s="1">
        <v>4395914</v>
      </c>
      <c r="B293" s="1" t="s">
        <v>1566</v>
      </c>
      <c r="C293" s="1" t="str">
        <f>"9788024622187"</f>
        <v>9788024622187</v>
      </c>
      <c r="D293" s="1" t="str">
        <f>"9788024630304"</f>
        <v>9788024630304</v>
      </c>
      <c r="E293" s="2" t="s">
        <v>517</v>
      </c>
      <c r="F293" s="2" t="s">
        <v>1464</v>
      </c>
      <c r="G293" s="1" t="s">
        <v>24</v>
      </c>
      <c r="H293" s="1">
        <v>1</v>
      </c>
      <c r="J293" s="1" t="s">
        <v>1567</v>
      </c>
      <c r="K293" s="1" t="s">
        <v>43</v>
      </c>
      <c r="L293" s="1" t="s">
        <v>1568</v>
      </c>
      <c r="M293" s="1" t="s">
        <v>1569</v>
      </c>
      <c r="N293" s="1" t="s">
        <v>1570</v>
      </c>
      <c r="O293" s="1" t="s">
        <v>30</v>
      </c>
      <c r="P293" s="4">
        <v>13.76</v>
      </c>
      <c r="Q293" s="5">
        <f t="shared" si="12"/>
        <v>16.512</v>
      </c>
      <c r="R293" s="4">
        <v>17.2</v>
      </c>
      <c r="S293" s="5">
        <f t="shared" si="13"/>
        <v>20.639999999999997</v>
      </c>
      <c r="T293" s="4">
        <v>20.64</v>
      </c>
      <c r="U293" s="5">
        <f t="shared" si="14"/>
        <v>24.768000000000001</v>
      </c>
      <c r="V293" s="1" t="s">
        <v>31</v>
      </c>
    </row>
    <row r="294" spans="1:22" x14ac:dyDescent="0.2">
      <c r="A294" s="1">
        <v>4395915</v>
      </c>
      <c r="B294" s="1" t="s">
        <v>1571</v>
      </c>
      <c r="C294" s="1" t="str">
        <f>"9788024629957"</f>
        <v>9788024629957</v>
      </c>
      <c r="D294" s="1" t="str">
        <f>"9788024630359"</f>
        <v>9788024630359</v>
      </c>
      <c r="E294" s="2" t="s">
        <v>1514</v>
      </c>
      <c r="F294" s="2" t="s">
        <v>1464</v>
      </c>
      <c r="G294" s="1" t="s">
        <v>24</v>
      </c>
      <c r="H294" s="1">
        <v>1</v>
      </c>
      <c r="J294" s="1" t="s">
        <v>1572</v>
      </c>
      <c r="K294" s="1" t="s">
        <v>334</v>
      </c>
      <c r="L294" s="1" t="s">
        <v>1573</v>
      </c>
      <c r="M294" s="1" t="s">
        <v>1574</v>
      </c>
      <c r="N294" s="1" t="s">
        <v>1575</v>
      </c>
      <c r="O294" s="1" t="s">
        <v>39</v>
      </c>
      <c r="P294" s="4">
        <v>14.68</v>
      </c>
      <c r="Q294" s="5">
        <f t="shared" si="12"/>
        <v>17.616</v>
      </c>
      <c r="R294" s="4">
        <v>18.350000000000001</v>
      </c>
      <c r="S294" s="5">
        <f t="shared" si="13"/>
        <v>22.02</v>
      </c>
      <c r="T294" s="4">
        <v>22.02</v>
      </c>
      <c r="U294" s="5">
        <f t="shared" si="14"/>
        <v>26.423999999999999</v>
      </c>
      <c r="V294" s="1" t="s">
        <v>31</v>
      </c>
    </row>
    <row r="295" spans="1:22" x14ac:dyDescent="0.2">
      <c r="A295" s="1">
        <v>4395916</v>
      </c>
      <c r="B295" s="1" t="s">
        <v>1576</v>
      </c>
      <c r="C295" s="1" t="str">
        <f>"9788024630656"</f>
        <v>9788024630656</v>
      </c>
      <c r="D295" s="1" t="str">
        <f>"9788024630694"</f>
        <v>9788024630694</v>
      </c>
      <c r="E295" s="2" t="s">
        <v>1480</v>
      </c>
      <c r="F295" s="2" t="s">
        <v>1464</v>
      </c>
      <c r="G295" s="1" t="s">
        <v>24</v>
      </c>
      <c r="H295" s="1">
        <v>1</v>
      </c>
      <c r="J295" s="1" t="s">
        <v>1577</v>
      </c>
      <c r="K295" s="1" t="s">
        <v>64</v>
      </c>
      <c r="L295" s="1" t="s">
        <v>1578</v>
      </c>
      <c r="M295" s="1" t="s">
        <v>1579</v>
      </c>
      <c r="N295" s="1" t="s">
        <v>1580</v>
      </c>
      <c r="O295" s="1" t="s">
        <v>39</v>
      </c>
      <c r="P295" s="4">
        <v>16.510000000000002</v>
      </c>
      <c r="Q295" s="5">
        <f t="shared" si="12"/>
        <v>19.812000000000001</v>
      </c>
      <c r="R295" s="4">
        <v>20.64</v>
      </c>
      <c r="S295" s="5">
        <f t="shared" si="13"/>
        <v>24.768000000000001</v>
      </c>
      <c r="T295" s="4">
        <v>24.77</v>
      </c>
      <c r="U295" s="5">
        <f t="shared" si="14"/>
        <v>29.723999999999997</v>
      </c>
      <c r="V295" s="1" t="s">
        <v>31</v>
      </c>
    </row>
    <row r="296" spans="1:22" x14ac:dyDescent="0.2">
      <c r="A296" s="1">
        <v>4395917</v>
      </c>
      <c r="B296" s="1" t="s">
        <v>1581</v>
      </c>
      <c r="C296" s="1" t="str">
        <f>"9788024630908"</f>
        <v>9788024630908</v>
      </c>
      <c r="D296" s="1" t="str">
        <f>"9788024631110"</f>
        <v>9788024631110</v>
      </c>
      <c r="E296" s="2" t="s">
        <v>1544</v>
      </c>
      <c r="F296" s="2" t="s">
        <v>1464</v>
      </c>
      <c r="G296" s="1" t="s">
        <v>24</v>
      </c>
      <c r="H296" s="1">
        <v>1</v>
      </c>
      <c r="J296" s="1" t="s">
        <v>1582</v>
      </c>
      <c r="K296" s="1" t="s">
        <v>260</v>
      </c>
      <c r="L296" s="1" t="s">
        <v>1583</v>
      </c>
      <c r="M296" s="1" t="s">
        <v>1584</v>
      </c>
      <c r="N296" s="1" t="s">
        <v>1585</v>
      </c>
      <c r="O296" s="1" t="s">
        <v>30</v>
      </c>
      <c r="P296" s="4">
        <v>13.76</v>
      </c>
      <c r="Q296" s="5">
        <f t="shared" si="12"/>
        <v>16.512</v>
      </c>
      <c r="R296" s="4">
        <v>17.2</v>
      </c>
      <c r="S296" s="5">
        <f t="shared" si="13"/>
        <v>20.639999999999997</v>
      </c>
      <c r="T296" s="4">
        <v>20.64</v>
      </c>
      <c r="U296" s="5">
        <f t="shared" si="14"/>
        <v>24.768000000000001</v>
      </c>
      <c r="V296" s="1" t="s">
        <v>31</v>
      </c>
    </row>
    <row r="297" spans="1:22" x14ac:dyDescent="0.2">
      <c r="A297" s="1">
        <v>4395918</v>
      </c>
      <c r="B297" s="1" t="s">
        <v>1586</v>
      </c>
      <c r="C297" s="1" t="str">
        <f>"9788024630915"</f>
        <v>9788024630915</v>
      </c>
      <c r="D297" s="1" t="str">
        <f>"9788024631226"</f>
        <v>9788024631226</v>
      </c>
      <c r="E297" s="2" t="s">
        <v>1544</v>
      </c>
      <c r="F297" s="2" t="s">
        <v>1464</v>
      </c>
      <c r="G297" s="1" t="s">
        <v>24</v>
      </c>
      <c r="H297" s="1">
        <v>1</v>
      </c>
      <c r="J297" s="1" t="s">
        <v>1587</v>
      </c>
      <c r="K297" s="1" t="s">
        <v>124</v>
      </c>
      <c r="L297" s="1" t="s">
        <v>1588</v>
      </c>
      <c r="M297" s="1">
        <v>616</v>
      </c>
      <c r="N297" s="1" t="s">
        <v>1589</v>
      </c>
      <c r="O297" s="1" t="s">
        <v>39</v>
      </c>
      <c r="P297" s="4">
        <v>13.76</v>
      </c>
      <c r="Q297" s="5">
        <f t="shared" si="12"/>
        <v>16.512</v>
      </c>
      <c r="R297" s="4">
        <v>17.2</v>
      </c>
      <c r="S297" s="5">
        <f t="shared" si="13"/>
        <v>20.639999999999997</v>
      </c>
      <c r="T297" s="4">
        <v>20.64</v>
      </c>
      <c r="U297" s="5">
        <f t="shared" si="14"/>
        <v>24.768000000000001</v>
      </c>
      <c r="V297" s="1" t="s">
        <v>31</v>
      </c>
    </row>
    <row r="298" spans="1:22" x14ac:dyDescent="0.2">
      <c r="A298" s="1">
        <v>4395920</v>
      </c>
      <c r="B298" s="1" t="s">
        <v>1590</v>
      </c>
      <c r="C298" s="1" t="str">
        <f>"9788024631523"</f>
        <v>9788024631523</v>
      </c>
      <c r="D298" s="1" t="str">
        <f>"9788024631684"</f>
        <v>9788024631684</v>
      </c>
      <c r="E298" s="2" t="s">
        <v>1544</v>
      </c>
      <c r="F298" s="2" t="s">
        <v>1464</v>
      </c>
      <c r="G298" s="1" t="s">
        <v>24</v>
      </c>
      <c r="H298" s="1">
        <v>1</v>
      </c>
      <c r="J298" s="1" t="s">
        <v>1591</v>
      </c>
      <c r="K298" s="1" t="s">
        <v>399</v>
      </c>
      <c r="L298" s="1" t="s">
        <v>1592</v>
      </c>
      <c r="M298" s="1" t="s">
        <v>401</v>
      </c>
      <c r="N298" s="1" t="s">
        <v>1593</v>
      </c>
      <c r="O298" s="1" t="s">
        <v>39</v>
      </c>
      <c r="P298" s="4">
        <v>13.76</v>
      </c>
      <c r="Q298" s="5">
        <f t="shared" si="12"/>
        <v>16.512</v>
      </c>
      <c r="R298" s="4">
        <v>17.2</v>
      </c>
      <c r="S298" s="5">
        <f t="shared" si="13"/>
        <v>20.639999999999997</v>
      </c>
      <c r="T298" s="4">
        <v>20.64</v>
      </c>
      <c r="U298" s="5">
        <f t="shared" si="14"/>
        <v>24.768000000000001</v>
      </c>
      <c r="V298" s="1" t="s">
        <v>31</v>
      </c>
    </row>
    <row r="299" spans="1:22" x14ac:dyDescent="0.2">
      <c r="A299" s="1">
        <v>4395923</v>
      </c>
      <c r="B299" s="1" t="s">
        <v>1594</v>
      </c>
      <c r="C299" s="1" t="str">
        <f>"9788024631509"</f>
        <v>9788024631509</v>
      </c>
      <c r="D299" s="1" t="str">
        <f>"9788024631875"</f>
        <v>9788024631875</v>
      </c>
      <c r="E299" s="2" t="s">
        <v>1544</v>
      </c>
      <c r="F299" s="2" t="s">
        <v>1464</v>
      </c>
      <c r="G299" s="1" t="s">
        <v>24</v>
      </c>
      <c r="H299" s="1">
        <v>1</v>
      </c>
      <c r="J299" s="1" t="s">
        <v>1595</v>
      </c>
      <c r="K299" s="1" t="s">
        <v>1596</v>
      </c>
      <c r="L299" s="1" t="s">
        <v>1597</v>
      </c>
      <c r="M299" s="1" t="s">
        <v>1598</v>
      </c>
      <c r="N299" s="1" t="s">
        <v>1599</v>
      </c>
      <c r="O299" s="1" t="s">
        <v>39</v>
      </c>
      <c r="P299" s="4">
        <v>16.510000000000002</v>
      </c>
      <c r="Q299" s="5">
        <f t="shared" si="12"/>
        <v>19.812000000000001</v>
      </c>
      <c r="R299" s="4">
        <v>20.64</v>
      </c>
      <c r="S299" s="5">
        <f t="shared" si="13"/>
        <v>24.768000000000001</v>
      </c>
      <c r="T299" s="4">
        <v>24.77</v>
      </c>
      <c r="U299" s="5">
        <f t="shared" si="14"/>
        <v>29.723999999999997</v>
      </c>
      <c r="V299" s="1" t="s">
        <v>31</v>
      </c>
    </row>
    <row r="300" spans="1:22" x14ac:dyDescent="0.2">
      <c r="A300" s="1">
        <v>4395926</v>
      </c>
      <c r="B300" s="1" t="s">
        <v>1600</v>
      </c>
      <c r="C300" s="1" t="str">
        <f>"9788024626932"</f>
        <v>9788024626932</v>
      </c>
      <c r="D300" s="1" t="str">
        <f>"9788024627052"</f>
        <v>9788024627052</v>
      </c>
      <c r="E300" s="2" t="s">
        <v>1132</v>
      </c>
      <c r="F300" s="2" t="s">
        <v>1464</v>
      </c>
      <c r="G300" s="1" t="s">
        <v>24</v>
      </c>
      <c r="H300" s="1">
        <v>1</v>
      </c>
      <c r="J300" s="1" t="s">
        <v>1601</v>
      </c>
      <c r="K300" s="1" t="s">
        <v>863</v>
      </c>
      <c r="L300" s="1" t="s">
        <v>1602</v>
      </c>
      <c r="M300" s="1">
        <v>611</v>
      </c>
      <c r="N300" s="1" t="s">
        <v>1603</v>
      </c>
      <c r="O300" s="1" t="s">
        <v>39</v>
      </c>
      <c r="P300" s="4">
        <v>13.76</v>
      </c>
      <c r="Q300" s="5">
        <f t="shared" si="12"/>
        <v>16.512</v>
      </c>
      <c r="R300" s="4">
        <v>17.2</v>
      </c>
      <c r="S300" s="5">
        <f t="shared" si="13"/>
        <v>20.639999999999997</v>
      </c>
      <c r="T300" s="4">
        <v>20.64</v>
      </c>
      <c r="U300" s="5">
        <f t="shared" si="14"/>
        <v>24.768000000000001</v>
      </c>
      <c r="V300" s="1" t="s">
        <v>31</v>
      </c>
    </row>
    <row r="301" spans="1:22" x14ac:dyDescent="0.2">
      <c r="A301" s="1">
        <v>4395927</v>
      </c>
      <c r="B301" s="1" t="s">
        <v>1604</v>
      </c>
      <c r="C301" s="1" t="str">
        <f>"9788024628639"</f>
        <v>9788024628639</v>
      </c>
      <c r="D301" s="1" t="str">
        <f>"9788024628882"</f>
        <v>9788024628882</v>
      </c>
      <c r="E301" s="2" t="s">
        <v>1132</v>
      </c>
      <c r="F301" s="2" t="s">
        <v>1464</v>
      </c>
      <c r="G301" s="1" t="s">
        <v>24</v>
      </c>
      <c r="H301" s="1">
        <v>1</v>
      </c>
      <c r="J301" s="1" t="s">
        <v>1605</v>
      </c>
      <c r="K301" s="1" t="s">
        <v>43</v>
      </c>
      <c r="L301" s="1" t="s">
        <v>1606</v>
      </c>
      <c r="M301" s="1" t="s">
        <v>1607</v>
      </c>
      <c r="N301" s="1" t="s">
        <v>1608</v>
      </c>
      <c r="O301" s="1" t="s">
        <v>39</v>
      </c>
      <c r="P301" s="4">
        <v>14.68</v>
      </c>
      <c r="Q301" s="5">
        <f t="shared" si="12"/>
        <v>17.616</v>
      </c>
      <c r="R301" s="4">
        <v>18.350000000000001</v>
      </c>
      <c r="S301" s="5">
        <f t="shared" si="13"/>
        <v>22.02</v>
      </c>
      <c r="T301" s="4">
        <v>22.02</v>
      </c>
      <c r="U301" s="5">
        <f t="shared" si="14"/>
        <v>26.423999999999999</v>
      </c>
      <c r="V301" s="1" t="s">
        <v>31</v>
      </c>
    </row>
    <row r="302" spans="1:22" x14ac:dyDescent="0.2">
      <c r="A302" s="1">
        <v>4395928</v>
      </c>
      <c r="B302" s="1" t="s">
        <v>1609</v>
      </c>
      <c r="C302" s="1" t="str">
        <f>"9788024629421"</f>
        <v>9788024629421</v>
      </c>
      <c r="D302" s="1" t="str">
        <f>"9788024629513"</f>
        <v>9788024629513</v>
      </c>
      <c r="E302" s="2" t="s">
        <v>1463</v>
      </c>
      <c r="F302" s="2" t="s">
        <v>1464</v>
      </c>
      <c r="G302" s="1" t="s">
        <v>24</v>
      </c>
      <c r="H302" s="1">
        <v>1</v>
      </c>
      <c r="J302" s="1" t="s">
        <v>1610</v>
      </c>
      <c r="K302" s="1" t="s">
        <v>181</v>
      </c>
      <c r="L302" s="1" t="s">
        <v>1611</v>
      </c>
      <c r="M302" s="1" t="s">
        <v>1612</v>
      </c>
      <c r="N302" s="1" t="s">
        <v>1613</v>
      </c>
      <c r="O302" s="1" t="s">
        <v>39</v>
      </c>
      <c r="P302" s="4">
        <v>17.43</v>
      </c>
      <c r="Q302" s="5">
        <f t="shared" si="12"/>
        <v>20.916</v>
      </c>
      <c r="R302" s="4">
        <v>21.79</v>
      </c>
      <c r="S302" s="5">
        <f t="shared" si="13"/>
        <v>26.148</v>
      </c>
      <c r="T302" s="4">
        <v>26.15</v>
      </c>
      <c r="U302" s="5">
        <f t="shared" si="14"/>
        <v>31.379999999999995</v>
      </c>
      <c r="V302" s="1" t="s">
        <v>31</v>
      </c>
    </row>
    <row r="303" spans="1:22" x14ac:dyDescent="0.2">
      <c r="A303" s="1">
        <v>4395929</v>
      </c>
      <c r="B303" s="1" t="s">
        <v>1614</v>
      </c>
      <c r="C303" s="1" t="str">
        <f>"9788024630670"</f>
        <v>9788024630670</v>
      </c>
      <c r="D303" s="1" t="str">
        <f>"9788024630779"</f>
        <v>9788024630779</v>
      </c>
      <c r="E303" s="2" t="s">
        <v>1514</v>
      </c>
      <c r="F303" s="2" t="s">
        <v>1464</v>
      </c>
      <c r="G303" s="1" t="s">
        <v>24</v>
      </c>
      <c r="H303" s="1">
        <v>1</v>
      </c>
      <c r="J303" s="1" t="s">
        <v>1615</v>
      </c>
      <c r="K303" s="1" t="s">
        <v>1616</v>
      </c>
      <c r="L303" s="1" t="s">
        <v>1617</v>
      </c>
      <c r="M303" s="1">
        <v>943</v>
      </c>
      <c r="N303" s="1" t="s">
        <v>1618</v>
      </c>
      <c r="O303" s="1" t="s">
        <v>39</v>
      </c>
      <c r="P303" s="4">
        <v>13.76</v>
      </c>
      <c r="Q303" s="5">
        <f t="shared" si="12"/>
        <v>16.512</v>
      </c>
      <c r="R303" s="4">
        <v>17.2</v>
      </c>
      <c r="S303" s="5">
        <f t="shared" si="13"/>
        <v>20.639999999999997</v>
      </c>
      <c r="T303" s="4">
        <v>20.64</v>
      </c>
      <c r="U303" s="5">
        <f t="shared" si="14"/>
        <v>24.768000000000001</v>
      </c>
      <c r="V303" s="1" t="s">
        <v>31</v>
      </c>
    </row>
    <row r="304" spans="1:22" x14ac:dyDescent="0.2">
      <c r="A304" s="1">
        <v>4395930</v>
      </c>
      <c r="B304" s="1" t="s">
        <v>1619</v>
      </c>
      <c r="C304" s="1" t="str">
        <f>"9788024630724"</f>
        <v>9788024630724</v>
      </c>
      <c r="D304" s="1" t="str">
        <f>"9788024630861"</f>
        <v>9788024630861</v>
      </c>
      <c r="E304" s="2" t="s">
        <v>1544</v>
      </c>
      <c r="F304" s="2" t="s">
        <v>1464</v>
      </c>
      <c r="G304" s="1" t="s">
        <v>24</v>
      </c>
      <c r="H304" s="1">
        <v>1</v>
      </c>
      <c r="J304" s="1" t="s">
        <v>1620</v>
      </c>
      <c r="K304" s="1" t="s">
        <v>1437</v>
      </c>
      <c r="L304" s="1" t="s">
        <v>1621</v>
      </c>
      <c r="M304" s="1" t="s">
        <v>1622</v>
      </c>
      <c r="N304" s="1" t="s">
        <v>1623</v>
      </c>
      <c r="O304" s="1" t="s">
        <v>39</v>
      </c>
      <c r="P304" s="4">
        <v>13.76</v>
      </c>
      <c r="Q304" s="5">
        <f t="shared" si="12"/>
        <v>16.512</v>
      </c>
      <c r="R304" s="4">
        <v>17.2</v>
      </c>
      <c r="S304" s="5">
        <f t="shared" si="13"/>
        <v>20.639999999999997</v>
      </c>
      <c r="T304" s="4">
        <v>20.64</v>
      </c>
      <c r="U304" s="5">
        <f t="shared" si="14"/>
        <v>24.768000000000001</v>
      </c>
      <c r="V304" s="1" t="s">
        <v>31</v>
      </c>
    </row>
    <row r="305" spans="1:22" x14ac:dyDescent="0.2">
      <c r="A305" s="1">
        <v>4395931</v>
      </c>
      <c r="B305" s="1" t="s">
        <v>1624</v>
      </c>
      <c r="C305" s="1" t="str">
        <f>"9788024630823"</f>
        <v>9788024630823</v>
      </c>
      <c r="D305" s="1" t="str">
        <f>"9788024630885"</f>
        <v>9788024630885</v>
      </c>
      <c r="E305" s="2" t="s">
        <v>1020</v>
      </c>
      <c r="F305" s="2" t="s">
        <v>1464</v>
      </c>
      <c r="G305" s="1" t="s">
        <v>24</v>
      </c>
      <c r="H305" s="1">
        <v>1</v>
      </c>
      <c r="J305" s="1" t="s">
        <v>1625</v>
      </c>
      <c r="K305" s="1" t="s">
        <v>111</v>
      </c>
      <c r="L305" s="1" t="s">
        <v>1626</v>
      </c>
      <c r="M305" s="1" t="s">
        <v>1627</v>
      </c>
      <c r="N305" s="1" t="s">
        <v>1628</v>
      </c>
      <c r="O305" s="1" t="s">
        <v>39</v>
      </c>
      <c r="P305" s="4">
        <v>13.76</v>
      </c>
      <c r="Q305" s="5">
        <f t="shared" si="12"/>
        <v>16.512</v>
      </c>
      <c r="R305" s="4">
        <v>17.2</v>
      </c>
      <c r="S305" s="5">
        <f t="shared" si="13"/>
        <v>20.639999999999997</v>
      </c>
      <c r="T305" s="4">
        <v>20.64</v>
      </c>
      <c r="U305" s="5">
        <f t="shared" si="14"/>
        <v>24.768000000000001</v>
      </c>
      <c r="V305" s="1" t="s">
        <v>31</v>
      </c>
    </row>
    <row r="306" spans="1:22" x14ac:dyDescent="0.2">
      <c r="A306" s="1">
        <v>4395932</v>
      </c>
      <c r="B306" s="1" t="s">
        <v>1629</v>
      </c>
      <c r="C306" s="1" t="str">
        <f>"9788024629995"</f>
        <v>9788024629995</v>
      </c>
      <c r="D306" s="1" t="str">
        <f>"9788024630120"</f>
        <v>9788024630120</v>
      </c>
      <c r="E306" s="2" t="s">
        <v>1020</v>
      </c>
      <c r="F306" s="2" t="s">
        <v>1630</v>
      </c>
      <c r="G306" s="1" t="s">
        <v>24</v>
      </c>
      <c r="H306" s="1">
        <v>1</v>
      </c>
      <c r="J306" s="1" t="s">
        <v>1631</v>
      </c>
      <c r="K306" s="1" t="s">
        <v>1632</v>
      </c>
      <c r="L306" s="1" t="s">
        <v>1633</v>
      </c>
      <c r="M306" s="1" t="s">
        <v>1455</v>
      </c>
      <c r="N306" s="1" t="s">
        <v>1634</v>
      </c>
      <c r="O306" s="1" t="s">
        <v>39</v>
      </c>
      <c r="P306" s="4">
        <v>20.18</v>
      </c>
      <c r="Q306" s="5">
        <f t="shared" si="12"/>
        <v>24.215999999999998</v>
      </c>
      <c r="R306" s="4">
        <v>25.23</v>
      </c>
      <c r="S306" s="5">
        <f t="shared" si="13"/>
        <v>30.276</v>
      </c>
      <c r="T306" s="4">
        <v>30.28</v>
      </c>
      <c r="U306" s="5">
        <f t="shared" si="14"/>
        <v>36.335999999999999</v>
      </c>
      <c r="V306" s="1" t="s">
        <v>31</v>
      </c>
    </row>
    <row r="307" spans="1:22" x14ac:dyDescent="0.2">
      <c r="A307" s="1">
        <v>4395933</v>
      </c>
      <c r="B307" s="1" t="s">
        <v>1635</v>
      </c>
      <c r="C307" s="1" t="str">
        <f>"9788024630083"</f>
        <v>9788024630083</v>
      </c>
      <c r="D307" s="1" t="str">
        <f>"9788024630328"</f>
        <v>9788024630328</v>
      </c>
      <c r="E307" s="2" t="s">
        <v>1544</v>
      </c>
      <c r="F307" s="2" t="s">
        <v>1630</v>
      </c>
      <c r="G307" s="1" t="s">
        <v>24</v>
      </c>
      <c r="H307" s="1">
        <v>1</v>
      </c>
      <c r="J307" s="1" t="s">
        <v>1636</v>
      </c>
      <c r="K307" s="1" t="s">
        <v>124</v>
      </c>
      <c r="L307" s="1" t="s">
        <v>1637</v>
      </c>
      <c r="M307" s="1" t="s">
        <v>1638</v>
      </c>
      <c r="N307" s="1" t="s">
        <v>1639</v>
      </c>
      <c r="O307" s="1" t="s">
        <v>39</v>
      </c>
      <c r="P307" s="4">
        <v>16.510000000000002</v>
      </c>
      <c r="Q307" s="5">
        <f t="shared" si="12"/>
        <v>19.812000000000001</v>
      </c>
      <c r="R307" s="4">
        <v>20.64</v>
      </c>
      <c r="S307" s="5">
        <f t="shared" si="13"/>
        <v>24.768000000000001</v>
      </c>
      <c r="T307" s="4">
        <v>24.77</v>
      </c>
      <c r="U307" s="5">
        <f t="shared" si="14"/>
        <v>29.723999999999997</v>
      </c>
      <c r="V307" s="1" t="s">
        <v>31</v>
      </c>
    </row>
    <row r="308" spans="1:22" x14ac:dyDescent="0.2">
      <c r="A308" s="1">
        <v>4395934</v>
      </c>
      <c r="B308" s="1" t="s">
        <v>1640</v>
      </c>
      <c r="C308" s="1" t="str">
        <f>"9788024631844"</f>
        <v>9788024631844</v>
      </c>
      <c r="D308" s="1" t="str">
        <f>"9788024631943"</f>
        <v>9788024631943</v>
      </c>
      <c r="E308" s="2" t="s">
        <v>1641</v>
      </c>
      <c r="F308" s="2" t="s">
        <v>1630</v>
      </c>
      <c r="G308" s="1" t="s">
        <v>24</v>
      </c>
      <c r="H308" s="1">
        <v>1</v>
      </c>
      <c r="J308" s="1" t="s">
        <v>1642</v>
      </c>
      <c r="K308" s="1" t="s">
        <v>260</v>
      </c>
      <c r="L308" s="1" t="s">
        <v>1643</v>
      </c>
      <c r="M308" s="1" t="s">
        <v>1644</v>
      </c>
      <c r="N308" s="1" t="s">
        <v>1645</v>
      </c>
      <c r="O308" s="1" t="s">
        <v>39</v>
      </c>
      <c r="P308" s="4">
        <v>13.76</v>
      </c>
      <c r="Q308" s="5">
        <f t="shared" si="12"/>
        <v>16.512</v>
      </c>
      <c r="R308" s="4">
        <v>17.2</v>
      </c>
      <c r="S308" s="5">
        <f t="shared" si="13"/>
        <v>20.639999999999997</v>
      </c>
      <c r="T308" s="4">
        <v>20.64</v>
      </c>
      <c r="U308" s="5">
        <f t="shared" si="14"/>
        <v>24.768000000000001</v>
      </c>
      <c r="V308" s="1" t="s">
        <v>31</v>
      </c>
    </row>
    <row r="309" spans="1:22" x14ac:dyDescent="0.2">
      <c r="A309" s="1">
        <v>4395935</v>
      </c>
      <c r="B309" s="1" t="s">
        <v>1646</v>
      </c>
      <c r="C309" s="1" t="str">
        <f>"9788024631998"</f>
        <v>9788024631998</v>
      </c>
      <c r="D309" s="1" t="str">
        <f>"9788024631981"</f>
        <v>9788024631981</v>
      </c>
      <c r="E309" s="2" t="s">
        <v>1132</v>
      </c>
      <c r="F309" s="2" t="s">
        <v>1630</v>
      </c>
      <c r="G309" s="1" t="s">
        <v>24</v>
      </c>
      <c r="H309" s="1">
        <v>2</v>
      </c>
      <c r="J309" s="1" t="s">
        <v>1647</v>
      </c>
      <c r="K309" s="1" t="s">
        <v>1648</v>
      </c>
      <c r="L309" s="1" t="s">
        <v>1649</v>
      </c>
      <c r="M309" s="1" t="s">
        <v>1650</v>
      </c>
      <c r="N309" s="1" t="s">
        <v>1651</v>
      </c>
      <c r="O309" s="1" t="s">
        <v>30</v>
      </c>
      <c r="P309" s="4">
        <v>13.76</v>
      </c>
      <c r="Q309" s="5">
        <f t="shared" si="12"/>
        <v>16.512</v>
      </c>
      <c r="R309" s="4">
        <v>17.2</v>
      </c>
      <c r="S309" s="5">
        <f t="shared" si="13"/>
        <v>20.639999999999997</v>
      </c>
      <c r="T309" s="4">
        <v>20.64</v>
      </c>
      <c r="U309" s="5">
        <f t="shared" si="14"/>
        <v>24.768000000000001</v>
      </c>
      <c r="V309" s="1" t="s">
        <v>31</v>
      </c>
    </row>
    <row r="310" spans="1:22" x14ac:dyDescent="0.2">
      <c r="A310" s="1">
        <v>4395936</v>
      </c>
      <c r="B310" s="1" t="s">
        <v>1652</v>
      </c>
      <c r="C310" s="1" t="str">
        <f>"9788024621364"</f>
        <v>9788024621364</v>
      </c>
      <c r="D310" s="1" t="str">
        <f>"9788024632582"</f>
        <v>9788024632582</v>
      </c>
      <c r="E310" s="2" t="s">
        <v>905</v>
      </c>
      <c r="F310" s="2" t="s">
        <v>1630</v>
      </c>
      <c r="G310" s="1" t="s">
        <v>24</v>
      </c>
      <c r="H310" s="1">
        <v>1</v>
      </c>
      <c r="J310" s="1" t="s">
        <v>1653</v>
      </c>
      <c r="K310" s="1" t="s">
        <v>1654</v>
      </c>
      <c r="L310" s="1" t="s">
        <v>1655</v>
      </c>
      <c r="M310" s="1" t="s">
        <v>1656</v>
      </c>
      <c r="N310" s="1" t="s">
        <v>1657</v>
      </c>
      <c r="O310" s="1" t="s">
        <v>39</v>
      </c>
      <c r="P310" s="4">
        <v>13.76</v>
      </c>
      <c r="Q310" s="5">
        <f t="shared" si="12"/>
        <v>16.512</v>
      </c>
      <c r="R310" s="4">
        <v>17.2</v>
      </c>
      <c r="S310" s="5">
        <f t="shared" si="13"/>
        <v>20.639999999999997</v>
      </c>
      <c r="T310" s="4">
        <v>20.64</v>
      </c>
      <c r="U310" s="5">
        <f t="shared" si="14"/>
        <v>24.768000000000001</v>
      </c>
      <c r="V310" s="1" t="s">
        <v>31</v>
      </c>
    </row>
    <row r="311" spans="1:22" x14ac:dyDescent="0.2">
      <c r="A311" s="1">
        <v>4543672</v>
      </c>
      <c r="B311" s="1" t="s">
        <v>1658</v>
      </c>
      <c r="C311" s="1" t="str">
        <f>"9788024628813"</f>
        <v>9788024628813</v>
      </c>
      <c r="D311" s="1" t="str">
        <f>"9788024629186"</f>
        <v>9788024629186</v>
      </c>
      <c r="E311" s="2" t="s">
        <v>1463</v>
      </c>
      <c r="F311" s="2" t="s">
        <v>1659</v>
      </c>
      <c r="G311" s="1" t="s">
        <v>24</v>
      </c>
      <c r="H311" s="1">
        <v>1</v>
      </c>
      <c r="J311" s="1" t="s">
        <v>1660</v>
      </c>
      <c r="K311" s="1" t="s">
        <v>79</v>
      </c>
      <c r="L311" s="1" t="s">
        <v>1661</v>
      </c>
      <c r="M311" s="1">
        <v>415</v>
      </c>
      <c r="N311" s="1" t="s">
        <v>1662</v>
      </c>
      <c r="O311" s="1" t="s">
        <v>1663</v>
      </c>
      <c r="P311" s="4">
        <v>13.76</v>
      </c>
      <c r="Q311" s="5">
        <f t="shared" si="12"/>
        <v>16.512</v>
      </c>
      <c r="R311" s="4">
        <v>17.2</v>
      </c>
      <c r="S311" s="5">
        <f t="shared" si="13"/>
        <v>20.639999999999997</v>
      </c>
      <c r="T311" s="4">
        <v>20.64</v>
      </c>
      <c r="U311" s="5">
        <f t="shared" si="14"/>
        <v>24.768000000000001</v>
      </c>
      <c r="V311" s="1" t="s">
        <v>31</v>
      </c>
    </row>
    <row r="312" spans="1:22" x14ac:dyDescent="0.2">
      <c r="A312" s="1">
        <v>4543673</v>
      </c>
      <c r="B312" s="1" t="s">
        <v>1664</v>
      </c>
      <c r="C312" s="1" t="str">
        <f>"9788024628851"</f>
        <v>9788024628851</v>
      </c>
      <c r="D312" s="1" t="str">
        <f>"9788024629216"</f>
        <v>9788024629216</v>
      </c>
      <c r="E312" s="2" t="s">
        <v>868</v>
      </c>
      <c r="F312" s="2" t="s">
        <v>1659</v>
      </c>
      <c r="G312" s="1" t="s">
        <v>24</v>
      </c>
      <c r="H312" s="1">
        <v>1</v>
      </c>
      <c r="J312" s="1" t="s">
        <v>1665</v>
      </c>
      <c r="K312" s="1" t="s">
        <v>260</v>
      </c>
      <c r="L312" s="1" t="s">
        <v>1666</v>
      </c>
      <c r="M312" s="1" t="s">
        <v>1667</v>
      </c>
      <c r="N312" s="1" t="s">
        <v>1668</v>
      </c>
      <c r="O312" s="1" t="s">
        <v>39</v>
      </c>
      <c r="P312" s="4">
        <v>13.76</v>
      </c>
      <c r="Q312" s="5">
        <f t="shared" si="12"/>
        <v>16.512</v>
      </c>
      <c r="R312" s="4">
        <v>17.2</v>
      </c>
      <c r="S312" s="5">
        <f t="shared" si="13"/>
        <v>20.639999999999997</v>
      </c>
      <c r="T312" s="4">
        <v>20.64</v>
      </c>
      <c r="U312" s="5">
        <f t="shared" si="14"/>
        <v>24.768000000000001</v>
      </c>
      <c r="V312" s="1" t="s">
        <v>31</v>
      </c>
    </row>
    <row r="313" spans="1:22" x14ac:dyDescent="0.2">
      <c r="A313" s="1">
        <v>4543674</v>
      </c>
      <c r="B313" s="1" t="s">
        <v>1669</v>
      </c>
      <c r="C313" s="1" t="str">
        <f>"9788024628806"</f>
        <v>9788024628806</v>
      </c>
      <c r="D313" s="1" t="str">
        <f>"9788024629230"</f>
        <v>9788024629230</v>
      </c>
      <c r="E313" s="2" t="s">
        <v>1641</v>
      </c>
      <c r="F313" s="2" t="s">
        <v>1659</v>
      </c>
      <c r="G313" s="1" t="s">
        <v>24</v>
      </c>
      <c r="H313" s="1">
        <v>1</v>
      </c>
      <c r="J313" s="1" t="s">
        <v>1670</v>
      </c>
      <c r="K313" s="1" t="s">
        <v>763</v>
      </c>
      <c r="L313" s="1" t="s">
        <v>1671</v>
      </c>
      <c r="M313" s="1" t="s">
        <v>1672</v>
      </c>
      <c r="N313" s="1" t="s">
        <v>1673</v>
      </c>
      <c r="O313" s="1" t="s">
        <v>39</v>
      </c>
      <c r="P313" s="4">
        <v>13.76</v>
      </c>
      <c r="Q313" s="5">
        <f t="shared" si="12"/>
        <v>16.512</v>
      </c>
      <c r="R313" s="4">
        <v>17.2</v>
      </c>
      <c r="S313" s="5">
        <f t="shared" si="13"/>
        <v>20.639999999999997</v>
      </c>
      <c r="T313" s="4">
        <v>20.64</v>
      </c>
      <c r="U313" s="5">
        <f t="shared" si="14"/>
        <v>24.768000000000001</v>
      </c>
      <c r="V313" s="1" t="s">
        <v>31</v>
      </c>
    </row>
    <row r="314" spans="1:22" x14ac:dyDescent="0.2">
      <c r="A314" s="1">
        <v>4543675</v>
      </c>
      <c r="B314" s="1" t="s">
        <v>1674</v>
      </c>
      <c r="C314" s="1" t="str">
        <f>"9788024629636"</f>
        <v>9788024629636</v>
      </c>
      <c r="D314" s="1" t="str">
        <f>"9788024629797"</f>
        <v>9788024629797</v>
      </c>
      <c r="E314" s="2" t="s">
        <v>1480</v>
      </c>
      <c r="F314" s="2" t="s">
        <v>1659</v>
      </c>
      <c r="G314" s="1" t="s">
        <v>24</v>
      </c>
      <c r="H314" s="1">
        <v>1</v>
      </c>
      <c r="J314" s="1" t="s">
        <v>1675</v>
      </c>
      <c r="K314" s="1" t="s">
        <v>79</v>
      </c>
      <c r="L314" s="1" t="s">
        <v>1676</v>
      </c>
      <c r="M314" s="1" t="s">
        <v>1677</v>
      </c>
      <c r="N314" s="1" t="s">
        <v>1678</v>
      </c>
      <c r="O314" s="1" t="s">
        <v>39</v>
      </c>
      <c r="P314" s="4">
        <v>13.76</v>
      </c>
      <c r="Q314" s="5">
        <f t="shared" si="12"/>
        <v>16.512</v>
      </c>
      <c r="R314" s="4">
        <v>17.2</v>
      </c>
      <c r="S314" s="5">
        <f t="shared" si="13"/>
        <v>20.639999999999997</v>
      </c>
      <c r="T314" s="4">
        <v>20.64</v>
      </c>
      <c r="U314" s="5">
        <f t="shared" si="14"/>
        <v>24.768000000000001</v>
      </c>
      <c r="V314" s="1" t="s">
        <v>31</v>
      </c>
    </row>
    <row r="315" spans="1:22" x14ac:dyDescent="0.2">
      <c r="A315" s="1">
        <v>4543676</v>
      </c>
      <c r="B315" s="1" t="s">
        <v>1679</v>
      </c>
      <c r="C315" s="1" t="str">
        <f>"9788024629353"</f>
        <v>9788024629353</v>
      </c>
      <c r="D315" s="1" t="str">
        <f>"9788024629926"</f>
        <v>9788024629926</v>
      </c>
      <c r="E315" s="2" t="s">
        <v>1068</v>
      </c>
      <c r="F315" s="2" t="s">
        <v>1680</v>
      </c>
      <c r="G315" s="1" t="s">
        <v>24</v>
      </c>
      <c r="H315" s="1">
        <v>1</v>
      </c>
      <c r="J315" s="1" t="s">
        <v>1681</v>
      </c>
      <c r="K315" s="1" t="s">
        <v>72</v>
      </c>
      <c r="L315" s="1" t="s">
        <v>1682</v>
      </c>
      <c r="M315" s="1" t="s">
        <v>1683</v>
      </c>
      <c r="N315" s="1" t="s">
        <v>1684</v>
      </c>
      <c r="O315" s="1" t="s">
        <v>39</v>
      </c>
      <c r="P315" s="4">
        <v>22.94</v>
      </c>
      <c r="Q315" s="5">
        <f t="shared" si="12"/>
        <v>27.528000000000002</v>
      </c>
      <c r="R315" s="4">
        <v>28.67</v>
      </c>
      <c r="S315" s="5">
        <f t="shared" si="13"/>
        <v>34.404000000000003</v>
      </c>
      <c r="T315" s="4">
        <v>34.4</v>
      </c>
      <c r="U315" s="5">
        <f t="shared" si="14"/>
        <v>41.279999999999994</v>
      </c>
      <c r="V315" s="1" t="s">
        <v>31</v>
      </c>
    </row>
    <row r="316" spans="1:22" x14ac:dyDescent="0.2">
      <c r="A316" s="1">
        <v>4543677</v>
      </c>
      <c r="B316" s="1" t="s">
        <v>1685</v>
      </c>
      <c r="C316" s="1" t="str">
        <f>"9788024629445"</f>
        <v>9788024629445</v>
      </c>
      <c r="D316" s="1" t="str">
        <f>"9788024629582"</f>
        <v>9788024629582</v>
      </c>
      <c r="E316" s="2" t="s">
        <v>1544</v>
      </c>
      <c r="F316" s="2" t="s">
        <v>1659</v>
      </c>
      <c r="G316" s="1" t="s">
        <v>24</v>
      </c>
      <c r="H316" s="1">
        <v>1</v>
      </c>
      <c r="J316" s="1" t="s">
        <v>1686</v>
      </c>
      <c r="K316" s="1" t="s">
        <v>1080</v>
      </c>
      <c r="L316" s="1" t="s">
        <v>1687</v>
      </c>
      <c r="M316" s="1">
        <v>419</v>
      </c>
      <c r="N316" s="1" t="s">
        <v>1688</v>
      </c>
      <c r="O316" s="1" t="s">
        <v>39</v>
      </c>
      <c r="P316" s="4">
        <v>14.68</v>
      </c>
      <c r="Q316" s="5">
        <f t="shared" si="12"/>
        <v>17.616</v>
      </c>
      <c r="R316" s="4">
        <v>18.350000000000001</v>
      </c>
      <c r="S316" s="5">
        <f t="shared" si="13"/>
        <v>22.02</v>
      </c>
      <c r="T316" s="4">
        <v>22.02</v>
      </c>
      <c r="U316" s="5">
        <f t="shared" si="14"/>
        <v>26.423999999999999</v>
      </c>
      <c r="V316" s="1" t="s">
        <v>31</v>
      </c>
    </row>
    <row r="317" spans="1:22" x14ac:dyDescent="0.2">
      <c r="A317" s="1">
        <v>4543678</v>
      </c>
      <c r="B317" s="1" t="s">
        <v>1689</v>
      </c>
      <c r="C317" s="1" t="str">
        <f>"9788024629971"</f>
        <v>9788024629971</v>
      </c>
      <c r="D317" s="1" t="str">
        <f>"9788024630168"</f>
        <v>9788024630168</v>
      </c>
      <c r="E317" s="2" t="s">
        <v>1068</v>
      </c>
      <c r="F317" s="2" t="s">
        <v>1659</v>
      </c>
      <c r="G317" s="1" t="s">
        <v>24</v>
      </c>
      <c r="H317" s="1">
        <v>1</v>
      </c>
      <c r="J317" s="1" t="s">
        <v>1690</v>
      </c>
      <c r="K317" s="1" t="s">
        <v>124</v>
      </c>
      <c r="L317" s="1" t="s">
        <v>1691</v>
      </c>
      <c r="M317" s="1" t="s">
        <v>1692</v>
      </c>
      <c r="N317" s="1" t="s">
        <v>1693</v>
      </c>
      <c r="O317" s="1" t="s">
        <v>39</v>
      </c>
      <c r="P317" s="4">
        <v>19.27</v>
      </c>
      <c r="Q317" s="5">
        <f t="shared" si="12"/>
        <v>23.123999999999999</v>
      </c>
      <c r="R317" s="4">
        <v>24.08</v>
      </c>
      <c r="S317" s="5">
        <f t="shared" si="13"/>
        <v>28.895999999999997</v>
      </c>
      <c r="T317" s="4">
        <v>28.9</v>
      </c>
      <c r="U317" s="5">
        <f t="shared" si="14"/>
        <v>34.68</v>
      </c>
      <c r="V317" s="1" t="s">
        <v>31</v>
      </c>
    </row>
    <row r="318" spans="1:22" x14ac:dyDescent="0.2">
      <c r="A318" s="1">
        <v>4543679</v>
      </c>
      <c r="B318" s="1" t="s">
        <v>1694</v>
      </c>
      <c r="C318" s="1" t="str">
        <f>"9788024631271"</f>
        <v>9788024631271</v>
      </c>
      <c r="D318" s="1" t="str">
        <f>"9788024631288"</f>
        <v>9788024631288</v>
      </c>
      <c r="E318" s="2" t="s">
        <v>1695</v>
      </c>
      <c r="F318" s="2" t="s">
        <v>1659</v>
      </c>
      <c r="G318" s="1" t="s">
        <v>24</v>
      </c>
      <c r="H318" s="1">
        <v>1</v>
      </c>
      <c r="J318" s="1" t="s">
        <v>1696</v>
      </c>
      <c r="K318" s="1" t="s">
        <v>181</v>
      </c>
      <c r="L318" s="1" t="s">
        <v>1697</v>
      </c>
      <c r="M318" s="1" t="s">
        <v>436</v>
      </c>
      <c r="N318" s="1" t="s">
        <v>1698</v>
      </c>
      <c r="O318" s="1" t="s">
        <v>39</v>
      </c>
      <c r="P318" s="4">
        <v>20.18</v>
      </c>
      <c r="Q318" s="5">
        <f t="shared" si="12"/>
        <v>24.215999999999998</v>
      </c>
      <c r="R318" s="4">
        <v>25.23</v>
      </c>
      <c r="S318" s="5">
        <f t="shared" si="13"/>
        <v>30.276</v>
      </c>
      <c r="T318" s="4">
        <v>30.28</v>
      </c>
      <c r="U318" s="5">
        <f t="shared" si="14"/>
        <v>36.335999999999999</v>
      </c>
      <c r="V318" s="1" t="s">
        <v>31</v>
      </c>
    </row>
    <row r="319" spans="1:22" x14ac:dyDescent="0.2">
      <c r="A319" s="1">
        <v>4543680</v>
      </c>
      <c r="B319" s="1" t="s">
        <v>1699</v>
      </c>
      <c r="C319" s="1" t="str">
        <f>"9788024630939"</f>
        <v>9788024630939</v>
      </c>
      <c r="D319" s="1" t="str">
        <f>"9788024631134"</f>
        <v>9788024631134</v>
      </c>
      <c r="E319" s="2" t="s">
        <v>1695</v>
      </c>
      <c r="F319" s="2" t="s">
        <v>1659</v>
      </c>
      <c r="G319" s="1" t="s">
        <v>24</v>
      </c>
      <c r="H319" s="1">
        <v>1</v>
      </c>
      <c r="J319" s="1" t="s">
        <v>1700</v>
      </c>
      <c r="K319" s="1" t="s">
        <v>1701</v>
      </c>
      <c r="L319" s="1" t="s">
        <v>1702</v>
      </c>
      <c r="M319" s="1" t="s">
        <v>1703</v>
      </c>
      <c r="N319" s="1" t="s">
        <v>1704</v>
      </c>
      <c r="O319" s="1" t="s">
        <v>39</v>
      </c>
      <c r="P319" s="4">
        <v>14.68</v>
      </c>
      <c r="Q319" s="5">
        <f t="shared" si="12"/>
        <v>17.616</v>
      </c>
      <c r="R319" s="4">
        <v>18.350000000000001</v>
      </c>
      <c r="S319" s="5">
        <f t="shared" si="13"/>
        <v>22.02</v>
      </c>
      <c r="T319" s="4">
        <v>22.02</v>
      </c>
      <c r="U319" s="5">
        <f t="shared" si="14"/>
        <v>26.423999999999999</v>
      </c>
      <c r="V319" s="1" t="s">
        <v>31</v>
      </c>
    </row>
    <row r="320" spans="1:22" x14ac:dyDescent="0.2">
      <c r="A320" s="1">
        <v>4543681</v>
      </c>
      <c r="B320" s="1" t="s">
        <v>1705</v>
      </c>
      <c r="C320" s="1" t="str">
        <f>"9788024631479"</f>
        <v>9788024631479</v>
      </c>
      <c r="D320" s="1" t="str">
        <f>"9788024631691"</f>
        <v>9788024631691</v>
      </c>
      <c r="E320" s="2" t="s">
        <v>1706</v>
      </c>
      <c r="F320" s="2" t="s">
        <v>1659</v>
      </c>
      <c r="G320" s="1" t="s">
        <v>24</v>
      </c>
      <c r="H320" s="1">
        <v>1</v>
      </c>
      <c r="J320" s="1" t="s">
        <v>1707</v>
      </c>
      <c r="K320" s="1" t="s">
        <v>72</v>
      </c>
      <c r="L320" s="1" t="s">
        <v>1708</v>
      </c>
      <c r="M320" s="1" t="s">
        <v>1709</v>
      </c>
      <c r="N320" s="1" t="s">
        <v>1710</v>
      </c>
      <c r="O320" s="1" t="s">
        <v>281</v>
      </c>
      <c r="P320" s="4">
        <v>15.6</v>
      </c>
      <c r="Q320" s="5">
        <f t="shared" si="12"/>
        <v>18.72</v>
      </c>
      <c r="R320" s="4">
        <v>19.5</v>
      </c>
      <c r="S320" s="5">
        <f t="shared" si="13"/>
        <v>23.4</v>
      </c>
      <c r="T320" s="4">
        <v>23.39</v>
      </c>
      <c r="U320" s="5">
        <f t="shared" si="14"/>
        <v>28.068000000000001</v>
      </c>
      <c r="V320" s="1" t="s">
        <v>31</v>
      </c>
    </row>
    <row r="321" spans="1:22" x14ac:dyDescent="0.2">
      <c r="A321" s="1">
        <v>4543682</v>
      </c>
      <c r="B321" s="1" t="s">
        <v>1711</v>
      </c>
      <c r="C321" s="1" t="str">
        <f>"9788024631615"</f>
        <v>9788024631615</v>
      </c>
      <c r="D321" s="1" t="str">
        <f>"9788024631714"</f>
        <v>9788024631714</v>
      </c>
      <c r="E321" s="2" t="s">
        <v>1068</v>
      </c>
      <c r="F321" s="2" t="s">
        <v>1712</v>
      </c>
      <c r="G321" s="1" t="s">
        <v>24</v>
      </c>
      <c r="H321" s="1">
        <v>1</v>
      </c>
      <c r="J321" s="1" t="s">
        <v>1713</v>
      </c>
      <c r="K321" s="1" t="s">
        <v>72</v>
      </c>
      <c r="L321" s="1" t="s">
        <v>1714</v>
      </c>
      <c r="M321" s="1" t="s">
        <v>1715</v>
      </c>
      <c r="N321" s="1" t="s">
        <v>1716</v>
      </c>
      <c r="O321" s="1" t="s">
        <v>30</v>
      </c>
      <c r="P321" s="4">
        <v>17.43</v>
      </c>
      <c r="Q321" s="5">
        <f t="shared" si="12"/>
        <v>20.916</v>
      </c>
      <c r="R321" s="4">
        <v>21.79</v>
      </c>
      <c r="S321" s="5">
        <f t="shared" si="13"/>
        <v>26.148</v>
      </c>
      <c r="T321" s="4">
        <v>26.15</v>
      </c>
      <c r="U321" s="5">
        <f t="shared" si="14"/>
        <v>31.379999999999995</v>
      </c>
      <c r="V321" s="1" t="s">
        <v>31</v>
      </c>
    </row>
    <row r="322" spans="1:22" x14ac:dyDescent="0.2">
      <c r="A322" s="1">
        <v>4543683</v>
      </c>
      <c r="B322" s="1" t="s">
        <v>1717</v>
      </c>
      <c r="C322" s="1" t="str">
        <f>"9788024631639"</f>
        <v>9788024631639</v>
      </c>
      <c r="D322" s="1" t="str">
        <f>"9788024632179"</f>
        <v>9788024632179</v>
      </c>
      <c r="E322" s="2" t="s">
        <v>1695</v>
      </c>
      <c r="F322" s="2" t="s">
        <v>1659</v>
      </c>
      <c r="G322" s="1" t="s">
        <v>24</v>
      </c>
      <c r="H322" s="1">
        <v>1</v>
      </c>
      <c r="J322" s="1" t="s">
        <v>1718</v>
      </c>
      <c r="K322" s="1" t="s">
        <v>43</v>
      </c>
      <c r="L322" s="1" t="s">
        <v>1719</v>
      </c>
      <c r="M322" s="1" t="s">
        <v>1569</v>
      </c>
      <c r="N322" s="1" t="s">
        <v>1720</v>
      </c>
      <c r="O322" s="1" t="s">
        <v>30</v>
      </c>
      <c r="P322" s="4">
        <v>13.76</v>
      </c>
      <c r="Q322" s="5">
        <f t="shared" si="12"/>
        <v>16.512</v>
      </c>
      <c r="R322" s="4">
        <v>17.2</v>
      </c>
      <c r="S322" s="5">
        <f t="shared" si="13"/>
        <v>20.639999999999997</v>
      </c>
      <c r="T322" s="4">
        <v>20.64</v>
      </c>
      <c r="U322" s="5">
        <f t="shared" si="14"/>
        <v>24.768000000000001</v>
      </c>
      <c r="V322" s="1" t="s">
        <v>31</v>
      </c>
    </row>
    <row r="323" spans="1:22" x14ac:dyDescent="0.2">
      <c r="A323" s="1">
        <v>4543684</v>
      </c>
      <c r="B323" s="1" t="s">
        <v>1721</v>
      </c>
      <c r="C323" s="1" t="str">
        <f>"9788024631868"</f>
        <v>9788024631868</v>
      </c>
      <c r="D323" s="1" t="str">
        <f>"9788024632223"</f>
        <v>9788024632223</v>
      </c>
      <c r="E323" s="2" t="s">
        <v>1641</v>
      </c>
      <c r="F323" s="2" t="s">
        <v>1722</v>
      </c>
      <c r="G323" s="1" t="s">
        <v>24</v>
      </c>
      <c r="H323" s="1">
        <v>1</v>
      </c>
      <c r="J323" s="1" t="s">
        <v>1723</v>
      </c>
      <c r="K323" s="1" t="s">
        <v>50</v>
      </c>
      <c r="L323" s="1" t="s">
        <v>1724</v>
      </c>
      <c r="M323" s="1" t="s">
        <v>1725</v>
      </c>
      <c r="N323" s="1" t="s">
        <v>1726</v>
      </c>
      <c r="O323" s="1" t="s">
        <v>39</v>
      </c>
      <c r="P323" s="4">
        <v>13.76</v>
      </c>
      <c r="Q323" s="5">
        <f t="shared" ref="Q323:Q386" si="15">P323*1.2</f>
        <v>16.512</v>
      </c>
      <c r="R323" s="4">
        <v>17.2</v>
      </c>
      <c r="S323" s="5">
        <f t="shared" ref="S323:S386" si="16">R323*1.2</f>
        <v>20.639999999999997</v>
      </c>
      <c r="T323" s="4">
        <v>20.64</v>
      </c>
      <c r="U323" s="5">
        <f t="shared" ref="U323:U386" si="17">T323*1.2</f>
        <v>24.768000000000001</v>
      </c>
      <c r="V323" s="1" t="s">
        <v>31</v>
      </c>
    </row>
    <row r="324" spans="1:22" x14ac:dyDescent="0.2">
      <c r="A324" s="1">
        <v>4543685</v>
      </c>
      <c r="B324" s="1" t="s">
        <v>1727</v>
      </c>
      <c r="C324" s="1" t="str">
        <f>"9788024632247"</f>
        <v>9788024632247</v>
      </c>
      <c r="D324" s="1" t="str">
        <f>"9788024632469"</f>
        <v>9788024632469</v>
      </c>
      <c r="E324" s="2" t="s">
        <v>1706</v>
      </c>
      <c r="F324" s="2" t="s">
        <v>1659</v>
      </c>
      <c r="G324" s="1" t="s">
        <v>24</v>
      </c>
      <c r="H324" s="1">
        <v>1</v>
      </c>
      <c r="J324" s="1" t="s">
        <v>1728</v>
      </c>
      <c r="K324" s="1" t="s">
        <v>93</v>
      </c>
      <c r="L324" s="1" t="s">
        <v>1729</v>
      </c>
      <c r="M324" s="1" t="s">
        <v>1730</v>
      </c>
      <c r="N324" s="1" t="s">
        <v>1731</v>
      </c>
      <c r="O324" s="1" t="s">
        <v>39</v>
      </c>
      <c r="P324" s="4">
        <v>15.6</v>
      </c>
      <c r="Q324" s="5">
        <f t="shared" si="15"/>
        <v>18.72</v>
      </c>
      <c r="R324" s="4">
        <v>19.5</v>
      </c>
      <c r="S324" s="5">
        <f t="shared" si="16"/>
        <v>23.4</v>
      </c>
      <c r="T324" s="4">
        <v>23.39</v>
      </c>
      <c r="U324" s="5">
        <f t="shared" si="17"/>
        <v>28.068000000000001</v>
      </c>
      <c r="V324" s="1" t="s">
        <v>31</v>
      </c>
    </row>
    <row r="325" spans="1:22" x14ac:dyDescent="0.2">
      <c r="A325" s="1">
        <v>4543686</v>
      </c>
      <c r="B325" s="1" t="s">
        <v>1732</v>
      </c>
      <c r="C325" s="1" t="str">
        <f>"9788024625072"</f>
        <v>9788024625072</v>
      </c>
      <c r="D325" s="1" t="str">
        <f>"9788024632544"</f>
        <v>9788024632544</v>
      </c>
      <c r="E325" s="2" t="s">
        <v>1480</v>
      </c>
      <c r="F325" s="2" t="s">
        <v>1659</v>
      </c>
      <c r="G325" s="1" t="s">
        <v>24</v>
      </c>
      <c r="H325" s="1">
        <v>1</v>
      </c>
      <c r="J325" s="1" t="s">
        <v>1733</v>
      </c>
      <c r="K325" s="1" t="s">
        <v>777</v>
      </c>
      <c r="L325" s="1" t="s">
        <v>1734</v>
      </c>
      <c r="M325" s="1" t="s">
        <v>1735</v>
      </c>
      <c r="N325" s="1" t="s">
        <v>1736</v>
      </c>
      <c r="O325" s="1" t="s">
        <v>39</v>
      </c>
      <c r="P325" s="4">
        <v>13.76</v>
      </c>
      <c r="Q325" s="5">
        <f t="shared" si="15"/>
        <v>16.512</v>
      </c>
      <c r="R325" s="4">
        <v>17.2</v>
      </c>
      <c r="S325" s="5">
        <f t="shared" si="16"/>
        <v>20.639999999999997</v>
      </c>
      <c r="T325" s="4">
        <v>20.64</v>
      </c>
      <c r="U325" s="5">
        <f t="shared" si="17"/>
        <v>24.768000000000001</v>
      </c>
      <c r="V325" s="1" t="s">
        <v>31</v>
      </c>
    </row>
    <row r="326" spans="1:22" x14ac:dyDescent="0.2">
      <c r="A326" s="1">
        <v>4543687</v>
      </c>
      <c r="B326" s="1" t="s">
        <v>1737</v>
      </c>
      <c r="C326" s="1" t="str">
        <f>"9788024632322"</f>
        <v>9788024632322</v>
      </c>
      <c r="D326" s="1" t="str">
        <f>"9788024632599"</f>
        <v>9788024632599</v>
      </c>
      <c r="E326" s="2" t="s">
        <v>1068</v>
      </c>
      <c r="F326" s="2" t="s">
        <v>1722</v>
      </c>
      <c r="G326" s="1" t="s">
        <v>24</v>
      </c>
      <c r="H326" s="1">
        <v>1</v>
      </c>
      <c r="J326" s="1" t="s">
        <v>1738</v>
      </c>
      <c r="K326" s="1" t="s">
        <v>72</v>
      </c>
      <c r="L326" s="1" t="s">
        <v>1739</v>
      </c>
      <c r="M326" s="1" t="s">
        <v>1740</v>
      </c>
      <c r="N326" s="1" t="s">
        <v>1741</v>
      </c>
      <c r="O326" s="1" t="s">
        <v>39</v>
      </c>
      <c r="P326" s="4">
        <v>13.76</v>
      </c>
      <c r="Q326" s="5">
        <f t="shared" si="15"/>
        <v>16.512</v>
      </c>
      <c r="R326" s="4">
        <v>17.2</v>
      </c>
      <c r="S326" s="5">
        <f t="shared" si="16"/>
        <v>20.639999999999997</v>
      </c>
      <c r="T326" s="4">
        <v>20.64</v>
      </c>
      <c r="U326" s="5">
        <f t="shared" si="17"/>
        <v>24.768000000000001</v>
      </c>
      <c r="V326" s="1" t="s">
        <v>31</v>
      </c>
    </row>
    <row r="327" spans="1:22" x14ac:dyDescent="0.2">
      <c r="A327" s="1">
        <v>4543688</v>
      </c>
      <c r="B327" s="1" t="s">
        <v>1742</v>
      </c>
      <c r="C327" s="1" t="str">
        <f>"9788024632803"</f>
        <v>9788024632803</v>
      </c>
      <c r="D327" s="1" t="str">
        <f>"9788024632971"</f>
        <v>9788024632971</v>
      </c>
      <c r="E327" s="2" t="s">
        <v>1695</v>
      </c>
      <c r="F327" s="2" t="s">
        <v>1659</v>
      </c>
      <c r="G327" s="1" t="s">
        <v>24</v>
      </c>
      <c r="H327" s="1">
        <v>1</v>
      </c>
      <c r="J327" s="1" t="s">
        <v>1743</v>
      </c>
      <c r="K327" s="1" t="s">
        <v>1054</v>
      </c>
      <c r="L327" s="1" t="s">
        <v>1744</v>
      </c>
      <c r="M327" s="1" t="s">
        <v>1745</v>
      </c>
      <c r="N327" s="1" t="s">
        <v>1746</v>
      </c>
      <c r="O327" s="1" t="s">
        <v>39</v>
      </c>
      <c r="P327" s="4">
        <v>13.76</v>
      </c>
      <c r="Q327" s="5">
        <f t="shared" si="15"/>
        <v>16.512</v>
      </c>
      <c r="R327" s="4">
        <v>17.2</v>
      </c>
      <c r="S327" s="5">
        <f t="shared" si="16"/>
        <v>20.639999999999997</v>
      </c>
      <c r="T327" s="4">
        <v>20.64</v>
      </c>
      <c r="U327" s="5">
        <f t="shared" si="17"/>
        <v>24.768000000000001</v>
      </c>
      <c r="V327" s="1" t="s">
        <v>31</v>
      </c>
    </row>
    <row r="328" spans="1:22" x14ac:dyDescent="0.2">
      <c r="A328" s="1">
        <v>4543689</v>
      </c>
      <c r="B328" s="1" t="s">
        <v>1747</v>
      </c>
      <c r="C328" s="1" t="str">
        <f>"9788024632728"</f>
        <v>9788024632728</v>
      </c>
      <c r="D328" s="1" t="str">
        <f>"9788024633008"</f>
        <v>9788024633008</v>
      </c>
      <c r="E328" s="2" t="s">
        <v>1068</v>
      </c>
      <c r="F328" s="2" t="s">
        <v>1659</v>
      </c>
      <c r="G328" s="1" t="s">
        <v>24</v>
      </c>
      <c r="H328" s="1">
        <v>1</v>
      </c>
      <c r="J328" s="1" t="s">
        <v>1748</v>
      </c>
      <c r="K328" s="1" t="s">
        <v>79</v>
      </c>
      <c r="L328" s="1" t="s">
        <v>1749</v>
      </c>
      <c r="M328" s="1">
        <v>414</v>
      </c>
      <c r="N328" s="1" t="s">
        <v>1750</v>
      </c>
      <c r="O328" s="1" t="s">
        <v>39</v>
      </c>
      <c r="P328" s="4">
        <v>13.76</v>
      </c>
      <c r="Q328" s="5">
        <f t="shared" si="15"/>
        <v>16.512</v>
      </c>
      <c r="R328" s="4">
        <v>17.2</v>
      </c>
      <c r="S328" s="5">
        <f t="shared" si="16"/>
        <v>20.639999999999997</v>
      </c>
      <c r="T328" s="4">
        <v>20.64</v>
      </c>
      <c r="U328" s="5">
        <f t="shared" si="17"/>
        <v>24.768000000000001</v>
      </c>
      <c r="V328" s="1" t="s">
        <v>31</v>
      </c>
    </row>
    <row r="329" spans="1:22" x14ac:dyDescent="0.2">
      <c r="A329" s="1">
        <v>4543690</v>
      </c>
      <c r="B329" s="1" t="s">
        <v>1751</v>
      </c>
      <c r="C329" s="1" t="str">
        <f>"9788024632766"</f>
        <v>9788024632766</v>
      </c>
      <c r="D329" s="1" t="str">
        <f>"9788024633091"</f>
        <v>9788024633091</v>
      </c>
      <c r="E329" s="2" t="s">
        <v>1706</v>
      </c>
      <c r="F329" s="2" t="s">
        <v>1659</v>
      </c>
      <c r="G329" s="1" t="s">
        <v>24</v>
      </c>
      <c r="H329" s="1">
        <v>1</v>
      </c>
      <c r="J329" s="1" t="s">
        <v>1752</v>
      </c>
      <c r="K329" s="1" t="s">
        <v>111</v>
      </c>
      <c r="L329" s="1" t="s">
        <v>1753</v>
      </c>
      <c r="M329" s="1" t="s">
        <v>1754</v>
      </c>
      <c r="N329" s="1" t="s">
        <v>1755</v>
      </c>
      <c r="O329" s="1" t="s">
        <v>39</v>
      </c>
      <c r="P329" s="4">
        <v>18.350000000000001</v>
      </c>
      <c r="Q329" s="5">
        <f t="shared" si="15"/>
        <v>22.02</v>
      </c>
      <c r="R329" s="4">
        <v>22.94</v>
      </c>
      <c r="S329" s="5">
        <f t="shared" si="16"/>
        <v>27.528000000000002</v>
      </c>
      <c r="T329" s="4">
        <v>27.52</v>
      </c>
      <c r="U329" s="5">
        <f t="shared" si="17"/>
        <v>33.024000000000001</v>
      </c>
      <c r="V329" s="1" t="s">
        <v>31</v>
      </c>
    </row>
    <row r="330" spans="1:22" x14ac:dyDescent="0.2">
      <c r="A330" s="1">
        <v>4543691</v>
      </c>
      <c r="B330" s="1" t="s">
        <v>1756</v>
      </c>
      <c r="C330" s="1" t="str">
        <f>"9788024629544"</f>
        <v>9788024629544</v>
      </c>
      <c r="D330" s="1" t="str">
        <f>"9788024633121"</f>
        <v>9788024633121</v>
      </c>
      <c r="E330" s="2" t="s">
        <v>1695</v>
      </c>
      <c r="F330" s="2" t="s">
        <v>1659</v>
      </c>
      <c r="G330" s="1" t="s">
        <v>24</v>
      </c>
      <c r="H330" s="1">
        <v>1</v>
      </c>
      <c r="J330" s="1" t="s">
        <v>1757</v>
      </c>
      <c r="K330" s="1" t="s">
        <v>334</v>
      </c>
      <c r="L330" s="1" t="s">
        <v>1758</v>
      </c>
      <c r="M330" s="1" t="s">
        <v>1759</v>
      </c>
      <c r="N330" s="1" t="s">
        <v>1760</v>
      </c>
      <c r="O330" s="1" t="s">
        <v>39</v>
      </c>
      <c r="P330" s="4">
        <v>13.76</v>
      </c>
      <c r="Q330" s="5">
        <f t="shared" si="15"/>
        <v>16.512</v>
      </c>
      <c r="R330" s="4">
        <v>17.2</v>
      </c>
      <c r="S330" s="5">
        <f t="shared" si="16"/>
        <v>20.639999999999997</v>
      </c>
      <c r="T330" s="4">
        <v>20.64</v>
      </c>
      <c r="U330" s="5">
        <f t="shared" si="17"/>
        <v>24.768000000000001</v>
      </c>
      <c r="V330" s="1" t="s">
        <v>31</v>
      </c>
    </row>
    <row r="331" spans="1:22" x14ac:dyDescent="0.2">
      <c r="A331" s="1">
        <v>4543692</v>
      </c>
      <c r="B331" s="1" t="s">
        <v>1761</v>
      </c>
      <c r="C331" s="1" t="str">
        <f>"9788024632629"</f>
        <v>9788024632629</v>
      </c>
      <c r="D331" s="1" t="str">
        <f>"9788024633145"</f>
        <v>9788024633145</v>
      </c>
      <c r="E331" s="2" t="s">
        <v>1068</v>
      </c>
      <c r="F331" s="2" t="s">
        <v>1659</v>
      </c>
      <c r="G331" s="1" t="s">
        <v>24</v>
      </c>
      <c r="H331" s="1">
        <v>1</v>
      </c>
      <c r="J331" s="1" t="s">
        <v>1762</v>
      </c>
      <c r="K331" s="1" t="s">
        <v>79</v>
      </c>
      <c r="L331" s="1" t="s">
        <v>1763</v>
      </c>
      <c r="M331" s="1">
        <v>475</v>
      </c>
      <c r="N331" s="1" t="s">
        <v>1764</v>
      </c>
      <c r="O331" s="1" t="s">
        <v>39</v>
      </c>
      <c r="P331" s="4">
        <v>13.76</v>
      </c>
      <c r="Q331" s="5">
        <f t="shared" si="15"/>
        <v>16.512</v>
      </c>
      <c r="R331" s="4">
        <v>17.2</v>
      </c>
      <c r="S331" s="5">
        <f t="shared" si="16"/>
        <v>20.639999999999997</v>
      </c>
      <c r="T331" s="4">
        <v>20.64</v>
      </c>
      <c r="U331" s="5">
        <f t="shared" si="17"/>
        <v>24.768000000000001</v>
      </c>
      <c r="V331" s="1" t="s">
        <v>31</v>
      </c>
    </row>
    <row r="332" spans="1:22" x14ac:dyDescent="0.2">
      <c r="A332" s="1">
        <v>4543694</v>
      </c>
      <c r="B332" s="1" t="s">
        <v>1765</v>
      </c>
      <c r="C332" s="1" t="str">
        <f>"9788024626307"</f>
        <v>9788024626307</v>
      </c>
      <c r="D332" s="1" t="str">
        <f>"9788024633480"</f>
        <v>9788024633480</v>
      </c>
      <c r="E332" s="2" t="s">
        <v>981</v>
      </c>
      <c r="F332" s="2" t="s">
        <v>1659</v>
      </c>
      <c r="G332" s="1" t="s">
        <v>24</v>
      </c>
      <c r="H332" s="1">
        <v>1</v>
      </c>
      <c r="J332" s="1" t="s">
        <v>1766</v>
      </c>
      <c r="K332" s="1" t="s">
        <v>111</v>
      </c>
      <c r="L332" s="1" t="s">
        <v>1767</v>
      </c>
      <c r="M332" s="1" t="s">
        <v>1768</v>
      </c>
      <c r="N332" s="1" t="s">
        <v>1769</v>
      </c>
      <c r="O332" s="1" t="s">
        <v>39</v>
      </c>
      <c r="P332" s="4">
        <v>16.510000000000002</v>
      </c>
      <c r="Q332" s="5">
        <f t="shared" si="15"/>
        <v>19.812000000000001</v>
      </c>
      <c r="R332" s="4">
        <v>20.64</v>
      </c>
      <c r="S332" s="5">
        <f t="shared" si="16"/>
        <v>24.768000000000001</v>
      </c>
      <c r="T332" s="4">
        <v>24.77</v>
      </c>
      <c r="U332" s="5">
        <f t="shared" si="17"/>
        <v>29.723999999999997</v>
      </c>
      <c r="V332" s="1" t="s">
        <v>31</v>
      </c>
    </row>
    <row r="333" spans="1:22" x14ac:dyDescent="0.2">
      <c r="A333" s="1">
        <v>4573667</v>
      </c>
      <c r="B333" s="1" t="s">
        <v>1770</v>
      </c>
      <c r="C333" s="1" t="str">
        <f>"9788024627359"</f>
        <v>9788024627359</v>
      </c>
      <c r="D333" s="1" t="str">
        <f>"9788024627694"</f>
        <v>9788024627694</v>
      </c>
      <c r="E333" s="2" t="s">
        <v>868</v>
      </c>
      <c r="F333" s="2" t="s">
        <v>1712</v>
      </c>
      <c r="G333" s="1" t="s">
        <v>24</v>
      </c>
      <c r="H333" s="1">
        <v>1</v>
      </c>
      <c r="J333" s="1" t="s">
        <v>1771</v>
      </c>
      <c r="K333" s="1" t="s">
        <v>79</v>
      </c>
      <c r="L333" s="1" t="s">
        <v>1772</v>
      </c>
      <c r="M333" s="1" t="s">
        <v>1773</v>
      </c>
      <c r="N333" s="1" t="s">
        <v>1774</v>
      </c>
      <c r="O333" s="1" t="s">
        <v>39</v>
      </c>
      <c r="P333" s="4">
        <v>19.27</v>
      </c>
      <c r="Q333" s="5">
        <f t="shared" si="15"/>
        <v>23.123999999999999</v>
      </c>
      <c r="R333" s="4">
        <v>24.08</v>
      </c>
      <c r="S333" s="5">
        <f t="shared" si="16"/>
        <v>28.895999999999997</v>
      </c>
      <c r="T333" s="4">
        <v>28.9</v>
      </c>
      <c r="U333" s="5">
        <f t="shared" si="17"/>
        <v>34.68</v>
      </c>
      <c r="V333" s="1" t="s">
        <v>31</v>
      </c>
    </row>
    <row r="334" spans="1:22" x14ac:dyDescent="0.2">
      <c r="A334" s="1">
        <v>4625391</v>
      </c>
      <c r="B334" s="1" t="s">
        <v>1775</v>
      </c>
      <c r="C334" s="1" t="str">
        <f>"9788024629964"</f>
        <v>9788024629964</v>
      </c>
      <c r="D334" s="1" t="str">
        <f>"9788024630700"</f>
        <v>9788024630700</v>
      </c>
      <c r="E334" s="2" t="s">
        <v>1706</v>
      </c>
      <c r="F334" s="2" t="s">
        <v>1712</v>
      </c>
      <c r="G334" s="1" t="s">
        <v>24</v>
      </c>
      <c r="H334" s="1">
        <v>1</v>
      </c>
      <c r="J334" s="1" t="s">
        <v>1776</v>
      </c>
      <c r="K334" s="1" t="s">
        <v>150</v>
      </c>
      <c r="L334" s="1" t="s">
        <v>1777</v>
      </c>
      <c r="M334" s="1" t="s">
        <v>1778</v>
      </c>
      <c r="N334" s="1" t="s">
        <v>1779</v>
      </c>
      <c r="O334" s="1" t="s">
        <v>39</v>
      </c>
      <c r="P334" s="4">
        <v>15.6</v>
      </c>
      <c r="Q334" s="5">
        <f t="shared" si="15"/>
        <v>18.72</v>
      </c>
      <c r="R334" s="4">
        <v>19.5</v>
      </c>
      <c r="S334" s="5">
        <f t="shared" si="16"/>
        <v>23.4</v>
      </c>
      <c r="T334" s="4">
        <v>23.39</v>
      </c>
      <c r="U334" s="5">
        <f t="shared" si="17"/>
        <v>28.068000000000001</v>
      </c>
      <c r="V334" s="1" t="s">
        <v>31</v>
      </c>
    </row>
    <row r="335" spans="1:22" x14ac:dyDescent="0.2">
      <c r="A335" s="1">
        <v>4625392</v>
      </c>
      <c r="B335" s="1" t="s">
        <v>1780</v>
      </c>
      <c r="C335" s="1" t="str">
        <f>"9788024632032"</f>
        <v>9788024632032</v>
      </c>
      <c r="D335" s="1" t="str">
        <f>"9788024632391"</f>
        <v>9788024632391</v>
      </c>
      <c r="E335" s="2" t="s">
        <v>1781</v>
      </c>
      <c r="F335" s="2" t="s">
        <v>1712</v>
      </c>
      <c r="G335" s="1" t="s">
        <v>24</v>
      </c>
      <c r="H335" s="1">
        <v>1</v>
      </c>
      <c r="J335" s="1" t="s">
        <v>1782</v>
      </c>
      <c r="K335" s="1" t="s">
        <v>1783</v>
      </c>
      <c r="L335" s="1" t="s">
        <v>1784</v>
      </c>
      <c r="M335" s="1" t="s">
        <v>1785</v>
      </c>
      <c r="N335" s="1" t="s">
        <v>1786</v>
      </c>
      <c r="O335" s="1" t="s">
        <v>39</v>
      </c>
      <c r="P335" s="4">
        <v>23.85</v>
      </c>
      <c r="Q335" s="5">
        <f t="shared" si="15"/>
        <v>28.62</v>
      </c>
      <c r="R335" s="4">
        <v>29.82</v>
      </c>
      <c r="S335" s="5">
        <f t="shared" si="16"/>
        <v>35.783999999999999</v>
      </c>
      <c r="T335" s="4">
        <v>35.78</v>
      </c>
      <c r="U335" s="5">
        <f t="shared" si="17"/>
        <v>42.936</v>
      </c>
      <c r="V335" s="1" t="s">
        <v>31</v>
      </c>
    </row>
    <row r="336" spans="1:22" x14ac:dyDescent="0.2">
      <c r="A336" s="1">
        <v>4625393</v>
      </c>
      <c r="B336" s="1" t="s">
        <v>1787</v>
      </c>
      <c r="C336" s="1" t="str">
        <f>"9788024633329"</f>
        <v>9788024633329</v>
      </c>
      <c r="D336" s="1" t="str">
        <f>"9788024633497"</f>
        <v>9788024633497</v>
      </c>
      <c r="E336" s="2" t="s">
        <v>1781</v>
      </c>
      <c r="F336" s="2" t="s">
        <v>1712</v>
      </c>
      <c r="G336" s="1" t="s">
        <v>24</v>
      </c>
      <c r="H336" s="1">
        <v>1</v>
      </c>
      <c r="J336" s="1" t="s">
        <v>1788</v>
      </c>
      <c r="K336" s="1" t="s">
        <v>43</v>
      </c>
      <c r="L336" s="1" t="s">
        <v>1789</v>
      </c>
      <c r="M336" s="1" t="s">
        <v>1790</v>
      </c>
      <c r="N336" s="1" t="s">
        <v>1791</v>
      </c>
      <c r="O336" s="1" t="s">
        <v>39</v>
      </c>
      <c r="P336" s="4">
        <v>16.510000000000002</v>
      </c>
      <c r="Q336" s="5">
        <f t="shared" si="15"/>
        <v>19.812000000000001</v>
      </c>
      <c r="R336" s="4">
        <v>20.64</v>
      </c>
      <c r="S336" s="5">
        <f t="shared" si="16"/>
        <v>24.768000000000001</v>
      </c>
      <c r="T336" s="4">
        <v>24.77</v>
      </c>
      <c r="U336" s="5">
        <f t="shared" si="17"/>
        <v>29.723999999999997</v>
      </c>
      <c r="V336" s="1" t="s">
        <v>31</v>
      </c>
    </row>
    <row r="337" spans="1:22" x14ac:dyDescent="0.2">
      <c r="A337" s="1">
        <v>4625394</v>
      </c>
      <c r="B337" s="1" t="s">
        <v>1792</v>
      </c>
      <c r="C337" s="1" t="str">
        <f>"9788024633411"</f>
        <v>9788024633411</v>
      </c>
      <c r="D337" s="1" t="str">
        <f>"9788024633503"</f>
        <v>9788024633503</v>
      </c>
      <c r="E337" s="2" t="s">
        <v>1781</v>
      </c>
      <c r="F337" s="2" t="s">
        <v>1712</v>
      </c>
      <c r="G337" s="1" t="s">
        <v>24</v>
      </c>
      <c r="H337" s="1">
        <v>1</v>
      </c>
      <c r="J337" s="1" t="s">
        <v>1793</v>
      </c>
      <c r="K337" s="1" t="s">
        <v>79</v>
      </c>
      <c r="L337" s="1" t="s">
        <v>1794</v>
      </c>
      <c r="M337" s="1" t="s">
        <v>1795</v>
      </c>
      <c r="N337" s="1" t="s">
        <v>1796</v>
      </c>
      <c r="O337" s="1" t="s">
        <v>39</v>
      </c>
      <c r="P337" s="4">
        <v>13.76</v>
      </c>
      <c r="Q337" s="5">
        <f t="shared" si="15"/>
        <v>16.512</v>
      </c>
      <c r="R337" s="4">
        <v>17.2</v>
      </c>
      <c r="S337" s="5">
        <f t="shared" si="16"/>
        <v>20.639999999999997</v>
      </c>
      <c r="T337" s="4">
        <v>20.64</v>
      </c>
      <c r="U337" s="5">
        <f t="shared" si="17"/>
        <v>24.768000000000001</v>
      </c>
      <c r="V337" s="1" t="s">
        <v>31</v>
      </c>
    </row>
    <row r="338" spans="1:22" x14ac:dyDescent="0.2">
      <c r="A338" s="1">
        <v>4625395</v>
      </c>
      <c r="B338" s="1" t="s">
        <v>1797</v>
      </c>
      <c r="C338" s="1" t="str">
        <f>"9788024632377"</f>
        <v>9788024632377</v>
      </c>
      <c r="D338" s="1" t="str">
        <f>"9788024633855"</f>
        <v>9788024633855</v>
      </c>
      <c r="E338" s="2" t="s">
        <v>1781</v>
      </c>
      <c r="F338" s="2" t="s">
        <v>1712</v>
      </c>
      <c r="G338" s="1" t="s">
        <v>24</v>
      </c>
      <c r="H338" s="1">
        <v>1</v>
      </c>
      <c r="J338" s="1" t="s">
        <v>1798</v>
      </c>
      <c r="K338" s="1" t="s">
        <v>50</v>
      </c>
      <c r="L338" s="1" t="s">
        <v>1799</v>
      </c>
      <c r="M338" s="1" t="s">
        <v>1800</v>
      </c>
      <c r="N338" s="1" t="s">
        <v>1801</v>
      </c>
      <c r="O338" s="1" t="s">
        <v>39</v>
      </c>
      <c r="P338" s="4">
        <v>13.76</v>
      </c>
      <c r="Q338" s="5">
        <f t="shared" si="15"/>
        <v>16.512</v>
      </c>
      <c r="R338" s="4">
        <v>17.2</v>
      </c>
      <c r="S338" s="5">
        <f t="shared" si="16"/>
        <v>20.639999999999997</v>
      </c>
      <c r="T338" s="4">
        <v>20.64</v>
      </c>
      <c r="U338" s="5">
        <f t="shared" si="17"/>
        <v>24.768000000000001</v>
      </c>
      <c r="V338" s="1" t="s">
        <v>31</v>
      </c>
    </row>
    <row r="339" spans="1:22" x14ac:dyDescent="0.2">
      <c r="A339" s="1">
        <v>4644469</v>
      </c>
      <c r="B339" s="1" t="s">
        <v>1802</v>
      </c>
      <c r="C339" s="1" t="str">
        <f>"9788024629742"</f>
        <v>9788024629742</v>
      </c>
      <c r="D339" s="1" t="str">
        <f>"9788024631066"</f>
        <v>9788024631066</v>
      </c>
      <c r="E339" s="2" t="s">
        <v>1695</v>
      </c>
      <c r="F339" s="2" t="s">
        <v>1803</v>
      </c>
      <c r="G339" s="1" t="s">
        <v>24</v>
      </c>
      <c r="H339" s="1">
        <v>1</v>
      </c>
      <c r="J339" s="1" t="s">
        <v>1804</v>
      </c>
      <c r="K339" s="1" t="s">
        <v>1805</v>
      </c>
      <c r="L339" s="1" t="s">
        <v>1806</v>
      </c>
      <c r="M339" s="1" t="s">
        <v>1807</v>
      </c>
      <c r="N339" s="1" t="s">
        <v>1808</v>
      </c>
      <c r="O339" s="1" t="s">
        <v>39</v>
      </c>
      <c r="P339" s="4">
        <v>13.76</v>
      </c>
      <c r="Q339" s="5">
        <f t="shared" si="15"/>
        <v>16.512</v>
      </c>
      <c r="R339" s="4">
        <v>17.2</v>
      </c>
      <c r="S339" s="5">
        <f t="shared" si="16"/>
        <v>20.639999999999997</v>
      </c>
      <c r="T339" s="4">
        <v>20.64</v>
      </c>
      <c r="U339" s="5">
        <f t="shared" si="17"/>
        <v>24.768000000000001</v>
      </c>
      <c r="V339" s="1" t="s">
        <v>31</v>
      </c>
    </row>
    <row r="340" spans="1:22" x14ac:dyDescent="0.2">
      <c r="A340" s="1">
        <v>4644470</v>
      </c>
      <c r="B340" s="1" t="s">
        <v>1809</v>
      </c>
      <c r="C340" s="1" t="str">
        <f>"9788024631103"</f>
        <v>9788024631103</v>
      </c>
      <c r="D340" s="1" t="str">
        <f>"9788024631202"</f>
        <v>9788024631202</v>
      </c>
      <c r="E340" s="2" t="s">
        <v>1641</v>
      </c>
      <c r="F340" s="2" t="s">
        <v>1803</v>
      </c>
      <c r="G340" s="1" t="s">
        <v>24</v>
      </c>
      <c r="H340" s="1">
        <v>1</v>
      </c>
      <c r="J340" s="1" t="s">
        <v>1810</v>
      </c>
      <c r="K340" s="1" t="s">
        <v>248</v>
      </c>
      <c r="L340" s="1" t="s">
        <v>1811</v>
      </c>
      <c r="M340" s="1">
        <v>796</v>
      </c>
      <c r="N340" s="1" t="s">
        <v>1812</v>
      </c>
      <c r="O340" s="1" t="s">
        <v>39</v>
      </c>
      <c r="P340" s="4">
        <v>13.76</v>
      </c>
      <c r="Q340" s="5">
        <f t="shared" si="15"/>
        <v>16.512</v>
      </c>
      <c r="R340" s="4">
        <v>17.2</v>
      </c>
      <c r="S340" s="5">
        <f t="shared" si="16"/>
        <v>20.639999999999997</v>
      </c>
      <c r="T340" s="4">
        <v>20.64</v>
      </c>
      <c r="U340" s="5">
        <f t="shared" si="17"/>
        <v>24.768000000000001</v>
      </c>
      <c r="V340" s="1" t="s">
        <v>31</v>
      </c>
    </row>
    <row r="341" spans="1:22" x14ac:dyDescent="0.2">
      <c r="A341" s="1">
        <v>4644471</v>
      </c>
      <c r="B341" s="1" t="s">
        <v>1813</v>
      </c>
      <c r="C341" s="1" t="str">
        <f>"9788024631394"</f>
        <v>9788024631394</v>
      </c>
      <c r="D341" s="1" t="str">
        <f>"9788024631431"</f>
        <v>9788024631431</v>
      </c>
      <c r="E341" s="2" t="s">
        <v>1781</v>
      </c>
      <c r="F341" s="2" t="s">
        <v>1814</v>
      </c>
      <c r="G341" s="1" t="s">
        <v>24</v>
      </c>
      <c r="H341" s="1">
        <v>1</v>
      </c>
      <c r="J341" s="1" t="s">
        <v>1815</v>
      </c>
      <c r="K341" s="1" t="s">
        <v>1816</v>
      </c>
      <c r="L341" s="1" t="s">
        <v>1817</v>
      </c>
      <c r="M341" s="1" t="s">
        <v>1818</v>
      </c>
      <c r="N341" s="1" t="s">
        <v>1819</v>
      </c>
      <c r="O341" s="1" t="s">
        <v>39</v>
      </c>
      <c r="P341" s="4">
        <v>13.76</v>
      </c>
      <c r="Q341" s="5">
        <f t="shared" si="15"/>
        <v>16.512</v>
      </c>
      <c r="R341" s="4">
        <v>17.2</v>
      </c>
      <c r="S341" s="5">
        <f t="shared" si="16"/>
        <v>20.639999999999997</v>
      </c>
      <c r="T341" s="4">
        <v>20.64</v>
      </c>
      <c r="U341" s="5">
        <f t="shared" si="17"/>
        <v>24.768000000000001</v>
      </c>
      <c r="V341" s="1" t="s">
        <v>31</v>
      </c>
    </row>
    <row r="342" spans="1:22" x14ac:dyDescent="0.2">
      <c r="A342" s="1">
        <v>4644472</v>
      </c>
      <c r="B342" s="1" t="s">
        <v>1820</v>
      </c>
      <c r="C342" s="1" t="str">
        <f>"9788024632643"</f>
        <v>9788024632643</v>
      </c>
      <c r="D342" s="1" t="str">
        <f>"9788024632940"</f>
        <v>9788024632940</v>
      </c>
      <c r="E342" s="2" t="s">
        <v>1706</v>
      </c>
      <c r="F342" s="2" t="s">
        <v>1814</v>
      </c>
      <c r="G342" s="1" t="s">
        <v>24</v>
      </c>
      <c r="H342" s="1">
        <v>1</v>
      </c>
      <c r="J342" s="1" t="s">
        <v>1821</v>
      </c>
      <c r="K342" s="1" t="s">
        <v>346</v>
      </c>
      <c r="L342" s="1" t="s">
        <v>1822</v>
      </c>
      <c r="M342" s="1" t="s">
        <v>1823</v>
      </c>
      <c r="N342" s="1" t="s">
        <v>1824</v>
      </c>
      <c r="O342" s="1" t="s">
        <v>39</v>
      </c>
      <c r="P342" s="4">
        <v>17.43</v>
      </c>
      <c r="Q342" s="5">
        <f t="shared" si="15"/>
        <v>20.916</v>
      </c>
      <c r="R342" s="4">
        <v>21.79</v>
      </c>
      <c r="S342" s="5">
        <f t="shared" si="16"/>
        <v>26.148</v>
      </c>
      <c r="T342" s="4">
        <v>26.15</v>
      </c>
      <c r="U342" s="5">
        <f t="shared" si="17"/>
        <v>31.379999999999995</v>
      </c>
      <c r="V342" s="1" t="s">
        <v>31</v>
      </c>
    </row>
    <row r="343" spans="1:22" x14ac:dyDescent="0.2">
      <c r="A343" s="1">
        <v>4644473</v>
      </c>
      <c r="B343" s="1" t="s">
        <v>1825</v>
      </c>
      <c r="C343" s="1" t="str">
        <f>"9788024628837"</f>
        <v>9788024628837</v>
      </c>
      <c r="D343" s="1" t="str">
        <f>"9788024634067"</f>
        <v>9788024634067</v>
      </c>
      <c r="E343" s="2" t="s">
        <v>1781</v>
      </c>
      <c r="F343" s="2" t="s">
        <v>1814</v>
      </c>
      <c r="G343" s="1" t="s">
        <v>24</v>
      </c>
      <c r="H343" s="1">
        <v>1</v>
      </c>
      <c r="J343" s="1" t="s">
        <v>1826</v>
      </c>
      <c r="K343" s="1" t="s">
        <v>763</v>
      </c>
      <c r="L343" s="1" t="s">
        <v>1827</v>
      </c>
      <c r="M343" s="1" t="s">
        <v>1672</v>
      </c>
      <c r="N343" s="1" t="s">
        <v>1828</v>
      </c>
      <c r="O343" s="1" t="s">
        <v>39</v>
      </c>
      <c r="P343" s="4">
        <v>13.76</v>
      </c>
      <c r="Q343" s="5">
        <f t="shared" si="15"/>
        <v>16.512</v>
      </c>
      <c r="R343" s="4">
        <v>17.2</v>
      </c>
      <c r="S343" s="5">
        <f t="shared" si="16"/>
        <v>20.639999999999997</v>
      </c>
      <c r="T343" s="4">
        <v>20.64</v>
      </c>
      <c r="U343" s="5">
        <f t="shared" si="17"/>
        <v>24.768000000000001</v>
      </c>
      <c r="V343" s="1" t="s">
        <v>31</v>
      </c>
    </row>
    <row r="344" spans="1:22" x14ac:dyDescent="0.2">
      <c r="A344" s="1">
        <v>4644499</v>
      </c>
      <c r="B344" s="1" t="s">
        <v>1829</v>
      </c>
      <c r="C344" s="1" t="str">
        <f>"9788024624808"</f>
        <v>9788024624808</v>
      </c>
      <c r="D344" s="1" t="str">
        <f>"9788024625317"</f>
        <v>9788024625317</v>
      </c>
      <c r="E344" s="2" t="s">
        <v>1068</v>
      </c>
      <c r="F344" s="2" t="s">
        <v>1830</v>
      </c>
      <c r="G344" s="1" t="s">
        <v>24</v>
      </c>
      <c r="H344" s="1">
        <v>1</v>
      </c>
      <c r="J344" s="1" t="s">
        <v>1831</v>
      </c>
      <c r="K344" s="1" t="s">
        <v>79</v>
      </c>
      <c r="L344" s="1" t="s">
        <v>1832</v>
      </c>
      <c r="M344" s="1" t="s">
        <v>296</v>
      </c>
      <c r="N344" s="1" t="s">
        <v>1833</v>
      </c>
      <c r="O344" s="1" t="s">
        <v>39</v>
      </c>
      <c r="P344" s="4">
        <v>13.76</v>
      </c>
      <c r="Q344" s="5">
        <f t="shared" si="15"/>
        <v>16.512</v>
      </c>
      <c r="R344" s="4">
        <v>17.2</v>
      </c>
      <c r="S344" s="5">
        <f t="shared" si="16"/>
        <v>20.639999999999997</v>
      </c>
      <c r="T344" s="4">
        <v>20.64</v>
      </c>
      <c r="U344" s="5">
        <f t="shared" si="17"/>
        <v>24.768000000000001</v>
      </c>
      <c r="V344" s="1" t="s">
        <v>31</v>
      </c>
    </row>
    <row r="345" spans="1:22" x14ac:dyDescent="0.2">
      <c r="A345" s="1">
        <v>4751495</v>
      </c>
      <c r="B345" s="1" t="s">
        <v>1834</v>
      </c>
      <c r="C345" s="1" t="str">
        <f>"9788024628509"</f>
        <v>9788024628509</v>
      </c>
      <c r="D345" s="1" t="str">
        <f>"9788024628677"</f>
        <v>9788024628677</v>
      </c>
      <c r="E345" s="2" t="s">
        <v>1781</v>
      </c>
      <c r="F345" s="2" t="s">
        <v>1835</v>
      </c>
      <c r="G345" s="1" t="s">
        <v>24</v>
      </c>
      <c r="H345" s="1">
        <v>2</v>
      </c>
      <c r="J345" s="1" t="s">
        <v>1836</v>
      </c>
      <c r="K345" s="1" t="s">
        <v>1837</v>
      </c>
      <c r="L345" s="1" t="s">
        <v>1838</v>
      </c>
      <c r="M345" s="1" t="s">
        <v>1839</v>
      </c>
      <c r="N345" s="1" t="s">
        <v>1840</v>
      </c>
      <c r="O345" s="1" t="s">
        <v>39</v>
      </c>
      <c r="P345" s="4">
        <v>14.68</v>
      </c>
      <c r="Q345" s="5">
        <f t="shared" si="15"/>
        <v>17.616</v>
      </c>
      <c r="R345" s="4">
        <v>18.350000000000001</v>
      </c>
      <c r="S345" s="5">
        <f t="shared" si="16"/>
        <v>22.02</v>
      </c>
      <c r="T345" s="4">
        <v>22.02</v>
      </c>
      <c r="U345" s="5">
        <f t="shared" si="17"/>
        <v>26.423999999999999</v>
      </c>
      <c r="V345" s="1" t="s">
        <v>31</v>
      </c>
    </row>
    <row r="346" spans="1:22" x14ac:dyDescent="0.2">
      <c r="A346" s="1">
        <v>4751496</v>
      </c>
      <c r="B346" s="1" t="s">
        <v>1841</v>
      </c>
      <c r="C346" s="1" t="str">
        <f>"9788024628158"</f>
        <v>9788024628158</v>
      </c>
      <c r="D346" s="1" t="str">
        <f>"9788024628684"</f>
        <v>9788024628684</v>
      </c>
      <c r="E346" s="2" t="s">
        <v>1706</v>
      </c>
      <c r="F346" s="2" t="s">
        <v>1835</v>
      </c>
      <c r="G346" s="1" t="s">
        <v>24</v>
      </c>
      <c r="H346" s="1">
        <v>1</v>
      </c>
      <c r="J346" s="1" t="s">
        <v>1842</v>
      </c>
      <c r="K346" s="1" t="s">
        <v>43</v>
      </c>
      <c r="L346" s="1" t="s">
        <v>1843</v>
      </c>
      <c r="M346" s="1" t="s">
        <v>1703</v>
      </c>
      <c r="N346" s="1" t="s">
        <v>1844</v>
      </c>
      <c r="O346" s="1" t="s">
        <v>39</v>
      </c>
      <c r="P346" s="4">
        <v>13.76</v>
      </c>
      <c r="Q346" s="5">
        <f t="shared" si="15"/>
        <v>16.512</v>
      </c>
      <c r="R346" s="4">
        <v>17.2</v>
      </c>
      <c r="S346" s="5">
        <f t="shared" si="16"/>
        <v>20.639999999999997</v>
      </c>
      <c r="T346" s="4">
        <v>20.64</v>
      </c>
      <c r="U346" s="5">
        <f t="shared" si="17"/>
        <v>24.768000000000001</v>
      </c>
      <c r="V346" s="1" t="s">
        <v>31</v>
      </c>
    </row>
    <row r="347" spans="1:22" x14ac:dyDescent="0.2">
      <c r="A347" s="1">
        <v>4751498</v>
      </c>
      <c r="B347" s="1" t="s">
        <v>1845</v>
      </c>
      <c r="C347" s="1" t="str">
        <f>"9788024629285"</f>
        <v>9788024629285</v>
      </c>
      <c r="D347" s="1" t="str">
        <f>"9788024629551"</f>
        <v>9788024629551</v>
      </c>
      <c r="E347" s="2" t="s">
        <v>1846</v>
      </c>
      <c r="F347" s="2" t="s">
        <v>1835</v>
      </c>
      <c r="G347" s="1" t="s">
        <v>24</v>
      </c>
      <c r="H347" s="1">
        <v>1</v>
      </c>
      <c r="J347" s="1" t="s">
        <v>1847</v>
      </c>
      <c r="K347" s="1" t="s">
        <v>150</v>
      </c>
      <c r="L347" s="1" t="s">
        <v>1848</v>
      </c>
      <c r="M347" s="1" t="s">
        <v>1849</v>
      </c>
      <c r="O347" s="1" t="s">
        <v>171</v>
      </c>
      <c r="P347" s="4">
        <v>13.76</v>
      </c>
      <c r="Q347" s="5">
        <f t="shared" si="15"/>
        <v>16.512</v>
      </c>
      <c r="R347" s="4">
        <v>17.2</v>
      </c>
      <c r="S347" s="5">
        <f t="shared" si="16"/>
        <v>20.639999999999997</v>
      </c>
      <c r="T347" s="4">
        <v>20.64</v>
      </c>
      <c r="U347" s="5">
        <f t="shared" si="17"/>
        <v>24.768000000000001</v>
      </c>
      <c r="V347" s="1" t="s">
        <v>31</v>
      </c>
    </row>
    <row r="348" spans="1:22" x14ac:dyDescent="0.2">
      <c r="A348" s="1">
        <v>4751499</v>
      </c>
      <c r="B348" s="1" t="s">
        <v>1850</v>
      </c>
      <c r="C348" s="1" t="str">
        <f>"9788024630007"</f>
        <v>9788024630007</v>
      </c>
      <c r="D348" s="1" t="str">
        <f>"9788024630182"</f>
        <v>9788024630182</v>
      </c>
      <c r="E348" s="2" t="s">
        <v>1846</v>
      </c>
      <c r="F348" s="2" t="s">
        <v>1835</v>
      </c>
      <c r="G348" s="1" t="s">
        <v>24</v>
      </c>
      <c r="H348" s="1">
        <v>1</v>
      </c>
      <c r="J348" s="1" t="s">
        <v>1851</v>
      </c>
      <c r="K348" s="1" t="s">
        <v>111</v>
      </c>
      <c r="L348" s="1" t="s">
        <v>1852</v>
      </c>
      <c r="M348" s="1" t="s">
        <v>1853</v>
      </c>
      <c r="N348" s="1" t="s">
        <v>1854</v>
      </c>
      <c r="O348" s="1" t="s">
        <v>39</v>
      </c>
      <c r="P348" s="4">
        <v>13.76</v>
      </c>
      <c r="Q348" s="5">
        <f t="shared" si="15"/>
        <v>16.512</v>
      </c>
      <c r="R348" s="4">
        <v>17.2</v>
      </c>
      <c r="S348" s="5">
        <f t="shared" si="16"/>
        <v>20.639999999999997</v>
      </c>
      <c r="T348" s="4">
        <v>20.64</v>
      </c>
      <c r="U348" s="5">
        <f t="shared" si="17"/>
        <v>24.768000000000001</v>
      </c>
      <c r="V348" s="1" t="s">
        <v>31</v>
      </c>
    </row>
    <row r="349" spans="1:22" x14ac:dyDescent="0.2">
      <c r="A349" s="1">
        <v>4751500</v>
      </c>
      <c r="B349" s="1" t="s">
        <v>1855</v>
      </c>
      <c r="C349" s="1" t="str">
        <f>"9788024615981"</f>
        <v>9788024615981</v>
      </c>
      <c r="D349" s="1" t="str">
        <f>"9788024631189"</f>
        <v>9788024631189</v>
      </c>
      <c r="E349" s="2" t="s">
        <v>253</v>
      </c>
      <c r="F349" s="2" t="s">
        <v>1835</v>
      </c>
      <c r="G349" s="1" t="s">
        <v>24</v>
      </c>
      <c r="H349" s="1">
        <v>1</v>
      </c>
      <c r="J349" s="1" t="s">
        <v>1856</v>
      </c>
      <c r="K349" s="1" t="s">
        <v>1857</v>
      </c>
      <c r="L349" s="1" t="s">
        <v>1858</v>
      </c>
      <c r="M349" s="1" t="s">
        <v>1859</v>
      </c>
      <c r="N349" s="1" t="s">
        <v>1860</v>
      </c>
      <c r="O349" s="1" t="s">
        <v>39</v>
      </c>
      <c r="P349" s="4">
        <v>16.510000000000002</v>
      </c>
      <c r="Q349" s="5">
        <f t="shared" si="15"/>
        <v>19.812000000000001</v>
      </c>
      <c r="R349" s="4">
        <v>20.64</v>
      </c>
      <c r="S349" s="5">
        <f t="shared" si="16"/>
        <v>24.768000000000001</v>
      </c>
      <c r="T349" s="4">
        <v>24.77</v>
      </c>
      <c r="U349" s="5">
        <f t="shared" si="17"/>
        <v>29.723999999999997</v>
      </c>
      <c r="V349" s="1" t="s">
        <v>31</v>
      </c>
    </row>
    <row r="350" spans="1:22" x14ac:dyDescent="0.2">
      <c r="A350" s="1">
        <v>4751501</v>
      </c>
      <c r="B350" s="1" t="s">
        <v>1861</v>
      </c>
      <c r="C350" s="1" t="str">
        <f>"9788024631318"</f>
        <v>9788024631318</v>
      </c>
      <c r="D350" s="1" t="str">
        <f>"9788024631332"</f>
        <v>9788024631332</v>
      </c>
      <c r="E350" s="2" t="s">
        <v>1862</v>
      </c>
      <c r="F350" s="2" t="s">
        <v>1835</v>
      </c>
      <c r="G350" s="1" t="s">
        <v>24</v>
      </c>
      <c r="H350" s="1">
        <v>1</v>
      </c>
      <c r="J350" s="1" t="s">
        <v>1863</v>
      </c>
      <c r="K350" s="1" t="s">
        <v>341</v>
      </c>
      <c r="L350" s="1" t="s">
        <v>1864</v>
      </c>
      <c r="M350" s="1">
        <v>113</v>
      </c>
      <c r="N350" s="1" t="s">
        <v>1865</v>
      </c>
      <c r="O350" s="1" t="s">
        <v>30</v>
      </c>
      <c r="P350" s="4">
        <v>14.68</v>
      </c>
      <c r="Q350" s="5">
        <f t="shared" si="15"/>
        <v>17.616</v>
      </c>
      <c r="R350" s="4">
        <v>18.350000000000001</v>
      </c>
      <c r="S350" s="5">
        <f t="shared" si="16"/>
        <v>22.02</v>
      </c>
      <c r="T350" s="4">
        <v>22.02</v>
      </c>
      <c r="U350" s="5">
        <f t="shared" si="17"/>
        <v>26.423999999999999</v>
      </c>
      <c r="V350" s="1" t="s">
        <v>31</v>
      </c>
    </row>
    <row r="351" spans="1:22" x14ac:dyDescent="0.2">
      <c r="A351" s="1">
        <v>4751502</v>
      </c>
      <c r="B351" s="1" t="s">
        <v>1866</v>
      </c>
      <c r="C351" s="1" t="str">
        <f>"9788024631486"</f>
        <v>9788024631486</v>
      </c>
      <c r="D351" s="1" t="str">
        <f>"9788024631677"</f>
        <v>9788024631677</v>
      </c>
      <c r="E351" s="2" t="s">
        <v>69</v>
      </c>
      <c r="F351" s="2" t="s">
        <v>1835</v>
      </c>
      <c r="G351" s="1" t="s">
        <v>24</v>
      </c>
      <c r="H351" s="1">
        <v>1</v>
      </c>
      <c r="J351" s="1" t="s">
        <v>1867</v>
      </c>
      <c r="K351" s="1" t="s">
        <v>150</v>
      </c>
      <c r="L351" s="1" t="s">
        <v>1868</v>
      </c>
      <c r="M351" s="1" t="s">
        <v>1869</v>
      </c>
      <c r="N351" s="1" t="s">
        <v>1870</v>
      </c>
      <c r="O351" s="1" t="s">
        <v>39</v>
      </c>
      <c r="P351" s="4">
        <v>19.27</v>
      </c>
      <c r="Q351" s="5">
        <f t="shared" si="15"/>
        <v>23.123999999999999</v>
      </c>
      <c r="R351" s="4">
        <v>24.08</v>
      </c>
      <c r="S351" s="5">
        <f t="shared" si="16"/>
        <v>28.895999999999997</v>
      </c>
      <c r="T351" s="4">
        <v>28.9</v>
      </c>
      <c r="U351" s="5">
        <f t="shared" si="17"/>
        <v>34.68</v>
      </c>
      <c r="V351" s="1" t="s">
        <v>31</v>
      </c>
    </row>
    <row r="352" spans="1:22" x14ac:dyDescent="0.2">
      <c r="A352" s="1">
        <v>4751503</v>
      </c>
      <c r="B352" s="1" t="s">
        <v>1871</v>
      </c>
      <c r="C352" s="1" t="str">
        <f>"9788024631820"</f>
        <v>9788024631820</v>
      </c>
      <c r="D352" s="1" t="str">
        <f>"9788024631950"</f>
        <v>9788024631950</v>
      </c>
      <c r="E352" s="2" t="s">
        <v>1872</v>
      </c>
      <c r="F352" s="2" t="s">
        <v>1835</v>
      </c>
      <c r="G352" s="1" t="s">
        <v>24</v>
      </c>
      <c r="H352" s="1">
        <v>1</v>
      </c>
      <c r="J352" s="1" t="s">
        <v>1873</v>
      </c>
      <c r="K352" s="1" t="s">
        <v>412</v>
      </c>
      <c r="L352" s="1" t="s">
        <v>1874</v>
      </c>
      <c r="M352" s="1" t="s">
        <v>1875</v>
      </c>
      <c r="N352" s="1" t="s">
        <v>1876</v>
      </c>
      <c r="O352" s="1" t="s">
        <v>39</v>
      </c>
      <c r="P352" s="4">
        <v>22.02</v>
      </c>
      <c r="Q352" s="5">
        <f t="shared" si="15"/>
        <v>26.423999999999999</v>
      </c>
      <c r="R352" s="4">
        <v>27.52</v>
      </c>
      <c r="S352" s="5">
        <f t="shared" si="16"/>
        <v>33.024000000000001</v>
      </c>
      <c r="T352" s="4">
        <v>33.03</v>
      </c>
      <c r="U352" s="5">
        <f t="shared" si="17"/>
        <v>39.636000000000003</v>
      </c>
      <c r="V352" s="1" t="s">
        <v>31</v>
      </c>
    </row>
    <row r="353" spans="1:22" x14ac:dyDescent="0.2">
      <c r="A353" s="1">
        <v>4751504</v>
      </c>
      <c r="B353" s="1" t="s">
        <v>1877</v>
      </c>
      <c r="C353" s="1" t="str">
        <f>"9788024629865"</f>
        <v>9788024629865</v>
      </c>
      <c r="D353" s="1" t="str">
        <f>"9788024632186"</f>
        <v>9788024632186</v>
      </c>
      <c r="E353" s="2" t="s">
        <v>1641</v>
      </c>
      <c r="F353" s="2" t="s">
        <v>1835</v>
      </c>
      <c r="G353" s="1" t="s">
        <v>24</v>
      </c>
      <c r="H353" s="1">
        <v>1</v>
      </c>
      <c r="J353" s="1" t="s">
        <v>411</v>
      </c>
      <c r="K353" s="1" t="s">
        <v>412</v>
      </c>
      <c r="L353" s="1" t="s">
        <v>1878</v>
      </c>
      <c r="M353" s="1" t="s">
        <v>1879</v>
      </c>
      <c r="N353" s="1" t="s">
        <v>1880</v>
      </c>
      <c r="O353" s="1" t="s">
        <v>39</v>
      </c>
      <c r="P353" s="4">
        <v>13.76</v>
      </c>
      <c r="Q353" s="5">
        <f t="shared" si="15"/>
        <v>16.512</v>
      </c>
      <c r="R353" s="4">
        <v>17.2</v>
      </c>
      <c r="S353" s="5">
        <f t="shared" si="16"/>
        <v>20.639999999999997</v>
      </c>
      <c r="T353" s="4">
        <v>20.64</v>
      </c>
      <c r="U353" s="5">
        <f t="shared" si="17"/>
        <v>24.768000000000001</v>
      </c>
      <c r="V353" s="1" t="s">
        <v>31</v>
      </c>
    </row>
    <row r="354" spans="1:22" x14ac:dyDescent="0.2">
      <c r="A354" s="1">
        <v>4751505</v>
      </c>
      <c r="B354" s="1" t="s">
        <v>1881</v>
      </c>
      <c r="C354" s="1" t="str">
        <f>"9788024629858"</f>
        <v>9788024629858</v>
      </c>
      <c r="D354" s="1" t="str">
        <f>"9788024632193"</f>
        <v>9788024632193</v>
      </c>
      <c r="E354" s="2" t="s">
        <v>1641</v>
      </c>
      <c r="F354" s="2" t="s">
        <v>1835</v>
      </c>
      <c r="G354" s="1" t="s">
        <v>24</v>
      </c>
      <c r="H354" s="1">
        <v>1</v>
      </c>
      <c r="J354" s="1" t="s">
        <v>411</v>
      </c>
      <c r="K354" s="1" t="s">
        <v>412</v>
      </c>
      <c r="L354" s="1" t="s">
        <v>1882</v>
      </c>
      <c r="M354" s="1" t="s">
        <v>1883</v>
      </c>
      <c r="N354" s="1" t="s">
        <v>1884</v>
      </c>
      <c r="O354" s="1" t="s">
        <v>39</v>
      </c>
      <c r="P354" s="4">
        <v>13.76</v>
      </c>
      <c r="Q354" s="5">
        <f t="shared" si="15"/>
        <v>16.512</v>
      </c>
      <c r="R354" s="4">
        <v>17.2</v>
      </c>
      <c r="S354" s="5">
        <f t="shared" si="16"/>
        <v>20.639999999999997</v>
      </c>
      <c r="T354" s="4">
        <v>20.64</v>
      </c>
      <c r="U354" s="5">
        <f t="shared" si="17"/>
        <v>24.768000000000001</v>
      </c>
      <c r="V354" s="1" t="s">
        <v>31</v>
      </c>
    </row>
    <row r="355" spans="1:22" x14ac:dyDescent="0.2">
      <c r="A355" s="1">
        <v>4751506</v>
      </c>
      <c r="B355" s="1" t="s">
        <v>1885</v>
      </c>
      <c r="C355" s="1" t="str">
        <f>"9788024629841"</f>
        <v>9788024629841</v>
      </c>
      <c r="D355" s="1" t="str">
        <f>"9788024632209"</f>
        <v>9788024632209</v>
      </c>
      <c r="E355" s="2" t="s">
        <v>1641</v>
      </c>
      <c r="F355" s="2" t="s">
        <v>1835</v>
      </c>
      <c r="G355" s="1" t="s">
        <v>24</v>
      </c>
      <c r="H355" s="1">
        <v>1</v>
      </c>
      <c r="J355" s="1" t="s">
        <v>411</v>
      </c>
      <c r="K355" s="1" t="s">
        <v>412</v>
      </c>
      <c r="L355" s="1" t="s">
        <v>1886</v>
      </c>
      <c r="M355" s="1" t="s">
        <v>1887</v>
      </c>
      <c r="N355" s="1" t="s">
        <v>1888</v>
      </c>
      <c r="O355" s="1" t="s">
        <v>39</v>
      </c>
      <c r="P355" s="4">
        <v>13.76</v>
      </c>
      <c r="Q355" s="5">
        <f t="shared" si="15"/>
        <v>16.512</v>
      </c>
      <c r="R355" s="4">
        <v>17.2</v>
      </c>
      <c r="S355" s="5">
        <f t="shared" si="16"/>
        <v>20.639999999999997</v>
      </c>
      <c r="T355" s="4">
        <v>20.64</v>
      </c>
      <c r="U355" s="5">
        <f t="shared" si="17"/>
        <v>24.768000000000001</v>
      </c>
      <c r="V355" s="1" t="s">
        <v>31</v>
      </c>
    </row>
    <row r="356" spans="1:22" x14ac:dyDescent="0.2">
      <c r="A356" s="1">
        <v>4751507</v>
      </c>
      <c r="B356" s="1" t="s">
        <v>1889</v>
      </c>
      <c r="C356" s="1" t="str">
        <f>"9788024629872"</f>
        <v>9788024629872</v>
      </c>
      <c r="D356" s="1" t="str">
        <f>"9788024632216"</f>
        <v>9788024632216</v>
      </c>
      <c r="E356" s="2" t="s">
        <v>1641</v>
      </c>
      <c r="F356" s="2" t="s">
        <v>1835</v>
      </c>
      <c r="G356" s="1" t="s">
        <v>24</v>
      </c>
      <c r="H356" s="1">
        <v>1</v>
      </c>
      <c r="J356" s="1" t="s">
        <v>411</v>
      </c>
      <c r="K356" s="1" t="s">
        <v>412</v>
      </c>
      <c r="L356" s="1" t="s">
        <v>1890</v>
      </c>
      <c r="M356" s="1" t="s">
        <v>1891</v>
      </c>
      <c r="N356" s="1" t="s">
        <v>1892</v>
      </c>
      <c r="O356" s="1" t="s">
        <v>39</v>
      </c>
      <c r="P356" s="4">
        <v>13.76</v>
      </c>
      <c r="Q356" s="5">
        <f t="shared" si="15"/>
        <v>16.512</v>
      </c>
      <c r="R356" s="4">
        <v>17.2</v>
      </c>
      <c r="S356" s="5">
        <f t="shared" si="16"/>
        <v>20.639999999999997</v>
      </c>
      <c r="T356" s="4">
        <v>20.64</v>
      </c>
      <c r="U356" s="5">
        <f t="shared" si="17"/>
        <v>24.768000000000001</v>
      </c>
      <c r="V356" s="1" t="s">
        <v>31</v>
      </c>
    </row>
    <row r="357" spans="1:22" x14ac:dyDescent="0.2">
      <c r="A357" s="1">
        <v>4751508</v>
      </c>
      <c r="B357" s="1" t="s">
        <v>1893</v>
      </c>
      <c r="C357" s="1" t="str">
        <f>"9788024632421"</f>
        <v>9788024632421</v>
      </c>
      <c r="D357" s="1" t="str">
        <f>"9788024632490"</f>
        <v>9788024632490</v>
      </c>
      <c r="E357" s="2" t="s">
        <v>1695</v>
      </c>
      <c r="F357" s="2" t="s">
        <v>1835</v>
      </c>
      <c r="G357" s="1" t="s">
        <v>24</v>
      </c>
      <c r="H357" s="1">
        <v>1</v>
      </c>
      <c r="J357" s="1" t="s">
        <v>213</v>
      </c>
      <c r="K357" s="1" t="s">
        <v>79</v>
      </c>
      <c r="L357" s="1" t="s">
        <v>1894</v>
      </c>
      <c r="M357" s="1" t="s">
        <v>1477</v>
      </c>
      <c r="N357" s="1" t="s">
        <v>1478</v>
      </c>
      <c r="O357" s="1" t="s">
        <v>39</v>
      </c>
      <c r="P357" s="4">
        <v>13.76</v>
      </c>
      <c r="Q357" s="5">
        <f t="shared" si="15"/>
        <v>16.512</v>
      </c>
      <c r="R357" s="4">
        <v>17.2</v>
      </c>
      <c r="S357" s="5">
        <f t="shared" si="16"/>
        <v>20.639999999999997</v>
      </c>
      <c r="T357" s="4">
        <v>20.64</v>
      </c>
      <c r="U357" s="5">
        <f t="shared" si="17"/>
        <v>24.768000000000001</v>
      </c>
      <c r="V357" s="1" t="s">
        <v>31</v>
      </c>
    </row>
    <row r="358" spans="1:22" x14ac:dyDescent="0.2">
      <c r="A358" s="1">
        <v>4751509</v>
      </c>
      <c r="B358" s="1" t="s">
        <v>1895</v>
      </c>
      <c r="C358" s="1" t="str">
        <f>"9788024632292"</f>
        <v>9788024632292</v>
      </c>
      <c r="D358" s="1" t="str">
        <f>"9788024632605"</f>
        <v>9788024632605</v>
      </c>
      <c r="E358" s="2" t="s">
        <v>1641</v>
      </c>
      <c r="F358" s="2" t="s">
        <v>1835</v>
      </c>
      <c r="G358" s="1" t="s">
        <v>24</v>
      </c>
      <c r="H358" s="1">
        <v>1</v>
      </c>
      <c r="J358" s="1" t="s">
        <v>1896</v>
      </c>
      <c r="K358" s="1" t="s">
        <v>1897</v>
      </c>
      <c r="L358" s="1" t="s">
        <v>1898</v>
      </c>
      <c r="M358" s="1" t="s">
        <v>1703</v>
      </c>
      <c r="N358" s="1" t="s">
        <v>1899</v>
      </c>
      <c r="O358" s="1" t="s">
        <v>39</v>
      </c>
      <c r="P358" s="4">
        <v>13.76</v>
      </c>
      <c r="Q358" s="5">
        <f t="shared" si="15"/>
        <v>16.512</v>
      </c>
      <c r="R358" s="4">
        <v>17.2</v>
      </c>
      <c r="S358" s="5">
        <f t="shared" si="16"/>
        <v>20.639999999999997</v>
      </c>
      <c r="T358" s="4">
        <v>20.64</v>
      </c>
      <c r="U358" s="5">
        <f t="shared" si="17"/>
        <v>24.768000000000001</v>
      </c>
      <c r="V358" s="1" t="s">
        <v>31</v>
      </c>
    </row>
    <row r="359" spans="1:22" x14ac:dyDescent="0.2">
      <c r="A359" s="1">
        <v>4751510</v>
      </c>
      <c r="B359" s="1" t="s">
        <v>1900</v>
      </c>
      <c r="C359" s="1" t="str">
        <f>"9788024633152"</f>
        <v>9788024633152</v>
      </c>
      <c r="D359" s="1" t="str">
        <f>"9788024633169"</f>
        <v>9788024633169</v>
      </c>
      <c r="E359" s="2" t="s">
        <v>1781</v>
      </c>
      <c r="F359" s="2" t="s">
        <v>1835</v>
      </c>
      <c r="G359" s="1" t="s">
        <v>24</v>
      </c>
      <c r="H359" s="1">
        <v>1</v>
      </c>
      <c r="J359" s="1" t="s">
        <v>1901</v>
      </c>
      <c r="K359" s="1" t="s">
        <v>150</v>
      </c>
      <c r="L359" s="1" t="s">
        <v>1902</v>
      </c>
      <c r="M359" s="1" t="s">
        <v>1903</v>
      </c>
      <c r="N359" s="1" t="s">
        <v>1904</v>
      </c>
      <c r="O359" s="1" t="s">
        <v>39</v>
      </c>
      <c r="P359" s="4">
        <v>22.94</v>
      </c>
      <c r="Q359" s="5">
        <f t="shared" si="15"/>
        <v>27.528000000000002</v>
      </c>
      <c r="R359" s="4">
        <v>28.67</v>
      </c>
      <c r="S359" s="5">
        <f t="shared" si="16"/>
        <v>34.404000000000003</v>
      </c>
      <c r="T359" s="4">
        <v>34.4</v>
      </c>
      <c r="U359" s="5">
        <f t="shared" si="17"/>
        <v>41.279999999999994</v>
      </c>
      <c r="V359" s="1" t="s">
        <v>31</v>
      </c>
    </row>
    <row r="360" spans="1:22" x14ac:dyDescent="0.2">
      <c r="A360" s="1">
        <v>4751511</v>
      </c>
      <c r="B360" s="1" t="s">
        <v>1905</v>
      </c>
      <c r="C360" s="1" t="str">
        <f>"9788024632827"</f>
        <v>9788024632827</v>
      </c>
      <c r="D360" s="1" t="str">
        <f>"9788024633183"</f>
        <v>9788024633183</v>
      </c>
      <c r="E360" s="2" t="s">
        <v>1781</v>
      </c>
      <c r="F360" s="2" t="s">
        <v>1835</v>
      </c>
      <c r="G360" s="1" t="s">
        <v>24</v>
      </c>
      <c r="H360" s="1">
        <v>1</v>
      </c>
      <c r="J360" s="1" t="s">
        <v>1906</v>
      </c>
      <c r="K360" s="1" t="s">
        <v>181</v>
      </c>
      <c r="L360" s="1" t="s">
        <v>1907</v>
      </c>
      <c r="M360" s="1" t="s">
        <v>1908</v>
      </c>
      <c r="N360" s="1" t="s">
        <v>1909</v>
      </c>
      <c r="O360" s="1" t="s">
        <v>39</v>
      </c>
      <c r="P360" s="4">
        <v>13.76</v>
      </c>
      <c r="Q360" s="5">
        <f t="shared" si="15"/>
        <v>16.512</v>
      </c>
      <c r="R360" s="4">
        <v>17.2</v>
      </c>
      <c r="S360" s="5">
        <f t="shared" si="16"/>
        <v>20.639999999999997</v>
      </c>
      <c r="T360" s="4">
        <v>20.64</v>
      </c>
      <c r="U360" s="5">
        <f t="shared" si="17"/>
        <v>24.768000000000001</v>
      </c>
      <c r="V360" s="1" t="s">
        <v>31</v>
      </c>
    </row>
    <row r="361" spans="1:22" x14ac:dyDescent="0.2">
      <c r="A361" s="1">
        <v>4751512</v>
      </c>
      <c r="B361" s="1" t="s">
        <v>1910</v>
      </c>
      <c r="C361" s="1" t="str">
        <f>"9788024633053"</f>
        <v>9788024633053</v>
      </c>
      <c r="D361" s="1" t="str">
        <f>"9788024633282"</f>
        <v>9788024633282</v>
      </c>
      <c r="E361" s="2" t="s">
        <v>1846</v>
      </c>
      <c r="F361" s="2" t="s">
        <v>1835</v>
      </c>
      <c r="G361" s="1" t="s">
        <v>24</v>
      </c>
      <c r="H361" s="1">
        <v>1</v>
      </c>
      <c r="J361" s="1" t="s">
        <v>1911</v>
      </c>
      <c r="K361" s="1" t="s">
        <v>79</v>
      </c>
      <c r="L361" s="1" t="s">
        <v>1912</v>
      </c>
      <c r="M361" s="1" t="s">
        <v>457</v>
      </c>
      <c r="N361" s="1" t="s">
        <v>1913</v>
      </c>
      <c r="O361" s="1" t="s">
        <v>39</v>
      </c>
      <c r="P361" s="4">
        <v>13.76</v>
      </c>
      <c r="Q361" s="5">
        <f t="shared" si="15"/>
        <v>16.512</v>
      </c>
      <c r="R361" s="4">
        <v>17.2</v>
      </c>
      <c r="S361" s="5">
        <f t="shared" si="16"/>
        <v>20.639999999999997</v>
      </c>
      <c r="T361" s="4">
        <v>20.64</v>
      </c>
      <c r="U361" s="5">
        <f t="shared" si="17"/>
        <v>24.768000000000001</v>
      </c>
      <c r="V361" s="1" t="s">
        <v>31</v>
      </c>
    </row>
    <row r="362" spans="1:22" x14ac:dyDescent="0.2">
      <c r="A362" s="1">
        <v>4751513</v>
      </c>
      <c r="B362" s="1" t="s">
        <v>1914</v>
      </c>
      <c r="C362" s="1" t="str">
        <f>"9788024633275"</f>
        <v>9788024633275</v>
      </c>
      <c r="D362" s="1" t="str">
        <f>"9788024633435"</f>
        <v>9788024633435</v>
      </c>
      <c r="E362" s="2" t="s">
        <v>1872</v>
      </c>
      <c r="F362" s="2" t="s">
        <v>1835</v>
      </c>
      <c r="G362" s="1" t="s">
        <v>24</v>
      </c>
      <c r="H362" s="1">
        <v>1</v>
      </c>
      <c r="J362" s="1" t="s">
        <v>1915</v>
      </c>
      <c r="K362" s="1" t="s">
        <v>150</v>
      </c>
      <c r="L362" s="1" t="s">
        <v>1916</v>
      </c>
      <c r="M362" s="1" t="s">
        <v>1917</v>
      </c>
      <c r="N362" s="1" t="s">
        <v>1918</v>
      </c>
      <c r="O362" s="1" t="s">
        <v>39</v>
      </c>
      <c r="P362" s="4">
        <v>13.76</v>
      </c>
      <c r="Q362" s="5">
        <f t="shared" si="15"/>
        <v>16.512</v>
      </c>
      <c r="R362" s="4">
        <v>17.2</v>
      </c>
      <c r="S362" s="5">
        <f t="shared" si="16"/>
        <v>20.639999999999997</v>
      </c>
      <c r="T362" s="4">
        <v>20.64</v>
      </c>
      <c r="U362" s="5">
        <f t="shared" si="17"/>
        <v>24.768000000000001</v>
      </c>
      <c r="V362" s="1" t="s">
        <v>31</v>
      </c>
    </row>
    <row r="363" spans="1:22" x14ac:dyDescent="0.2">
      <c r="A363" s="1">
        <v>4751514</v>
      </c>
      <c r="B363" s="1" t="s">
        <v>1919</v>
      </c>
      <c r="C363" s="1" t="str">
        <f>"9788024633398"</f>
        <v>9788024633398</v>
      </c>
      <c r="D363" s="1" t="str">
        <f>"9788024633459"</f>
        <v>9788024633459</v>
      </c>
      <c r="E363" s="2" t="s">
        <v>1706</v>
      </c>
      <c r="F363" s="2" t="s">
        <v>1835</v>
      </c>
      <c r="G363" s="1" t="s">
        <v>24</v>
      </c>
      <c r="H363" s="1">
        <v>1</v>
      </c>
      <c r="J363" s="1" t="s">
        <v>1920</v>
      </c>
      <c r="K363" s="1" t="s">
        <v>124</v>
      </c>
      <c r="L363" s="1" t="s">
        <v>1921</v>
      </c>
      <c r="M363" s="1" t="s">
        <v>1922</v>
      </c>
      <c r="N363" s="1" t="s">
        <v>1923</v>
      </c>
      <c r="O363" s="1" t="s">
        <v>39</v>
      </c>
      <c r="P363" s="4">
        <v>18.350000000000001</v>
      </c>
      <c r="Q363" s="5">
        <f t="shared" si="15"/>
        <v>22.02</v>
      </c>
      <c r="R363" s="4">
        <v>22.94</v>
      </c>
      <c r="S363" s="5">
        <f t="shared" si="16"/>
        <v>27.528000000000002</v>
      </c>
      <c r="T363" s="4">
        <v>27.52</v>
      </c>
      <c r="U363" s="5">
        <f t="shared" si="17"/>
        <v>33.024000000000001</v>
      </c>
      <c r="V363" s="1" t="s">
        <v>31</v>
      </c>
    </row>
    <row r="364" spans="1:22" x14ac:dyDescent="0.2">
      <c r="A364" s="1">
        <v>4751515</v>
      </c>
      <c r="B364" s="1" t="s">
        <v>1924</v>
      </c>
      <c r="C364" s="1" t="str">
        <f>"9788024633640"</f>
        <v>9788024633640</v>
      </c>
      <c r="D364" s="1" t="str">
        <f>"9788024633831"</f>
        <v>9788024633831</v>
      </c>
      <c r="E364" s="2" t="s">
        <v>1872</v>
      </c>
      <c r="F364" s="2" t="s">
        <v>1835</v>
      </c>
      <c r="G364" s="1" t="s">
        <v>24</v>
      </c>
      <c r="H364" s="1">
        <v>1</v>
      </c>
      <c r="J364" s="1" t="s">
        <v>1836</v>
      </c>
      <c r="K364" s="1" t="s">
        <v>72</v>
      </c>
      <c r="L364" s="1" t="s">
        <v>1925</v>
      </c>
      <c r="M364" s="1" t="s">
        <v>1926</v>
      </c>
      <c r="N364" s="1" t="s">
        <v>1927</v>
      </c>
      <c r="O364" s="1" t="s">
        <v>39</v>
      </c>
      <c r="P364" s="4">
        <v>13.76</v>
      </c>
      <c r="Q364" s="5">
        <f t="shared" si="15"/>
        <v>16.512</v>
      </c>
      <c r="R364" s="4">
        <v>17.2</v>
      </c>
      <c r="S364" s="5">
        <f t="shared" si="16"/>
        <v>20.639999999999997</v>
      </c>
      <c r="T364" s="4">
        <v>20.64</v>
      </c>
      <c r="U364" s="5">
        <f t="shared" si="17"/>
        <v>24.768000000000001</v>
      </c>
      <c r="V364" s="1" t="s">
        <v>31</v>
      </c>
    </row>
    <row r="365" spans="1:22" x14ac:dyDescent="0.2">
      <c r="A365" s="1">
        <v>4751517</v>
      </c>
      <c r="B365" s="1" t="s">
        <v>1928</v>
      </c>
      <c r="C365" s="1" t="str">
        <f>"9788024633565"</f>
        <v>9788024633565</v>
      </c>
      <c r="D365" s="1" t="str">
        <f>"9788024633909"</f>
        <v>9788024633909</v>
      </c>
      <c r="E365" s="2" t="s">
        <v>1872</v>
      </c>
      <c r="F365" s="2" t="s">
        <v>1835</v>
      </c>
      <c r="G365" s="1" t="s">
        <v>24</v>
      </c>
      <c r="H365" s="1">
        <v>1</v>
      </c>
      <c r="J365" s="1" t="s">
        <v>1929</v>
      </c>
      <c r="K365" s="1" t="s">
        <v>43</v>
      </c>
      <c r="L365" s="1" t="s">
        <v>1930</v>
      </c>
      <c r="M365" s="1">
        <v>307</v>
      </c>
      <c r="N365" s="1" t="s">
        <v>1931</v>
      </c>
      <c r="O365" s="1" t="s">
        <v>39</v>
      </c>
      <c r="P365" s="4">
        <v>13.76</v>
      </c>
      <c r="Q365" s="5">
        <f t="shared" si="15"/>
        <v>16.512</v>
      </c>
      <c r="R365" s="4">
        <v>17.2</v>
      </c>
      <c r="S365" s="5">
        <f t="shared" si="16"/>
        <v>20.639999999999997</v>
      </c>
      <c r="T365" s="4">
        <v>20.64</v>
      </c>
      <c r="U365" s="5">
        <f t="shared" si="17"/>
        <v>24.768000000000001</v>
      </c>
      <c r="V365" s="1" t="s">
        <v>31</v>
      </c>
    </row>
    <row r="366" spans="1:22" x14ac:dyDescent="0.2">
      <c r="A366" s="1">
        <v>4751518</v>
      </c>
      <c r="B366" s="1" t="s">
        <v>1932</v>
      </c>
      <c r="C366" s="1" t="str">
        <f>"9788024634043"</f>
        <v>9788024634043</v>
      </c>
      <c r="D366" s="1" t="str">
        <f>"9788024634050"</f>
        <v>9788024634050</v>
      </c>
      <c r="E366" s="2" t="s">
        <v>1846</v>
      </c>
      <c r="F366" s="2" t="s">
        <v>1835</v>
      </c>
      <c r="G366" s="1" t="s">
        <v>24</v>
      </c>
      <c r="H366" s="1">
        <v>1</v>
      </c>
      <c r="J366" s="1" t="s">
        <v>1933</v>
      </c>
      <c r="K366" s="1" t="s">
        <v>43</v>
      </c>
      <c r="L366" s="1" t="s">
        <v>1934</v>
      </c>
      <c r="M366" s="1" t="s">
        <v>1935</v>
      </c>
      <c r="N366" s="1" t="s">
        <v>1936</v>
      </c>
      <c r="O366" s="1" t="s">
        <v>39</v>
      </c>
      <c r="P366" s="4">
        <v>13.76</v>
      </c>
      <c r="Q366" s="5">
        <f t="shared" si="15"/>
        <v>16.512</v>
      </c>
      <c r="R366" s="4">
        <v>17.2</v>
      </c>
      <c r="S366" s="5">
        <f t="shared" si="16"/>
        <v>20.639999999999997</v>
      </c>
      <c r="T366" s="4">
        <v>20.64</v>
      </c>
      <c r="U366" s="5">
        <f t="shared" si="17"/>
        <v>24.768000000000001</v>
      </c>
      <c r="V366" s="1" t="s">
        <v>31</v>
      </c>
    </row>
    <row r="367" spans="1:22" x14ac:dyDescent="0.2">
      <c r="A367" s="1">
        <v>4772068</v>
      </c>
      <c r="B367" s="1" t="s">
        <v>1937</v>
      </c>
      <c r="C367" s="1" t="str">
        <f>"9788024633800"</f>
        <v>9788024633800</v>
      </c>
      <c r="D367" s="1" t="str">
        <f>"9788024633947"</f>
        <v>9788024633947</v>
      </c>
      <c r="E367" s="2" t="s">
        <v>1938</v>
      </c>
      <c r="F367" s="2" t="s">
        <v>1939</v>
      </c>
      <c r="G367" s="1" t="s">
        <v>24</v>
      </c>
      <c r="H367" s="1">
        <v>1</v>
      </c>
      <c r="J367" s="1" t="s">
        <v>1940</v>
      </c>
      <c r="K367" s="1" t="s">
        <v>248</v>
      </c>
      <c r="L367" s="1" t="s">
        <v>1941</v>
      </c>
      <c r="N367" s="1" t="s">
        <v>1942</v>
      </c>
      <c r="O367" s="1" t="s">
        <v>39</v>
      </c>
      <c r="P367" s="4">
        <v>13.76</v>
      </c>
      <c r="Q367" s="5">
        <f t="shared" si="15"/>
        <v>16.512</v>
      </c>
      <c r="R367" s="4">
        <v>17.2</v>
      </c>
      <c r="S367" s="5">
        <f t="shared" si="16"/>
        <v>20.639999999999997</v>
      </c>
      <c r="T367" s="4">
        <v>20.64</v>
      </c>
      <c r="U367" s="5">
        <f t="shared" si="17"/>
        <v>24.768000000000001</v>
      </c>
      <c r="V367" s="1" t="s">
        <v>31</v>
      </c>
    </row>
    <row r="368" spans="1:22" x14ac:dyDescent="0.2">
      <c r="A368" s="1">
        <v>4772069</v>
      </c>
      <c r="B368" s="1" t="s">
        <v>1943</v>
      </c>
      <c r="C368" s="1" t="str">
        <f>"9788024632230"</f>
        <v>9788024632230</v>
      </c>
      <c r="D368" s="1" t="str">
        <f>"9788024632537"</f>
        <v>9788024632537</v>
      </c>
      <c r="E368" s="2" t="s">
        <v>1872</v>
      </c>
      <c r="F368" s="2" t="s">
        <v>1939</v>
      </c>
      <c r="G368" s="1" t="s">
        <v>24</v>
      </c>
      <c r="H368" s="1">
        <v>1</v>
      </c>
      <c r="J368" s="1" t="s">
        <v>1944</v>
      </c>
      <c r="K368" s="1" t="s">
        <v>1945</v>
      </c>
      <c r="L368" s="1" t="s">
        <v>1946</v>
      </c>
      <c r="N368" s="1" t="s">
        <v>1947</v>
      </c>
      <c r="O368" s="1" t="s">
        <v>39</v>
      </c>
      <c r="P368" s="4">
        <v>18.350000000000001</v>
      </c>
      <c r="Q368" s="5">
        <f t="shared" si="15"/>
        <v>22.02</v>
      </c>
      <c r="R368" s="4">
        <v>22.94</v>
      </c>
      <c r="S368" s="5">
        <f t="shared" si="16"/>
        <v>27.528000000000002</v>
      </c>
      <c r="T368" s="4">
        <v>27.52</v>
      </c>
      <c r="U368" s="5">
        <f t="shared" si="17"/>
        <v>33.024000000000001</v>
      </c>
      <c r="V368" s="1" t="s">
        <v>31</v>
      </c>
    </row>
    <row r="369" spans="1:22" x14ac:dyDescent="0.2">
      <c r="A369" s="1">
        <v>4772070</v>
      </c>
      <c r="B369" s="1" t="s">
        <v>1948</v>
      </c>
      <c r="C369" s="1" t="str">
        <f>"9788024633770"</f>
        <v>9788024633770</v>
      </c>
      <c r="D369" s="1" t="str">
        <f>"9788024634098"</f>
        <v>9788024634098</v>
      </c>
      <c r="E369" s="2" t="s">
        <v>1781</v>
      </c>
      <c r="F369" s="2" t="s">
        <v>1939</v>
      </c>
      <c r="G369" s="1" t="s">
        <v>24</v>
      </c>
      <c r="H369" s="1">
        <v>1</v>
      </c>
      <c r="J369" s="1" t="s">
        <v>1949</v>
      </c>
      <c r="K369" s="1" t="s">
        <v>111</v>
      </c>
      <c r="L369" s="1" t="s">
        <v>1950</v>
      </c>
      <c r="O369" s="1" t="s">
        <v>30</v>
      </c>
      <c r="P369" s="4">
        <v>13.76</v>
      </c>
      <c r="Q369" s="5">
        <f t="shared" si="15"/>
        <v>16.512</v>
      </c>
      <c r="R369" s="4">
        <v>17.2</v>
      </c>
      <c r="S369" s="5">
        <f t="shared" si="16"/>
        <v>20.639999999999997</v>
      </c>
      <c r="T369" s="4">
        <v>20.64</v>
      </c>
      <c r="U369" s="5">
        <f t="shared" si="17"/>
        <v>24.768000000000001</v>
      </c>
      <c r="V369" s="1" t="s">
        <v>31</v>
      </c>
    </row>
    <row r="370" spans="1:22" x14ac:dyDescent="0.2">
      <c r="A370" s="1">
        <v>4772071</v>
      </c>
      <c r="B370" s="1" t="s">
        <v>1951</v>
      </c>
      <c r="C370" s="1" t="str">
        <f>"9788024634432"</f>
        <v>9788024634432</v>
      </c>
      <c r="D370" s="1" t="str">
        <f>"9788024634548"</f>
        <v>9788024634548</v>
      </c>
      <c r="E370" s="2" t="s">
        <v>69</v>
      </c>
      <c r="F370" s="2" t="s">
        <v>1939</v>
      </c>
      <c r="G370" s="1" t="s">
        <v>24</v>
      </c>
      <c r="H370" s="1">
        <v>1</v>
      </c>
      <c r="J370" s="1" t="s">
        <v>1952</v>
      </c>
      <c r="K370" s="1" t="s">
        <v>1363</v>
      </c>
      <c r="L370" s="1" t="s">
        <v>1953</v>
      </c>
      <c r="N370" s="1" t="s">
        <v>1954</v>
      </c>
      <c r="O370" s="1" t="s">
        <v>39</v>
      </c>
      <c r="P370" s="4">
        <v>13.76</v>
      </c>
      <c r="Q370" s="5">
        <f t="shared" si="15"/>
        <v>16.512</v>
      </c>
      <c r="R370" s="4">
        <v>17.2</v>
      </c>
      <c r="S370" s="5">
        <f t="shared" si="16"/>
        <v>20.639999999999997</v>
      </c>
      <c r="T370" s="4">
        <v>20.64</v>
      </c>
      <c r="U370" s="5">
        <f t="shared" si="17"/>
        <v>24.768000000000001</v>
      </c>
      <c r="V370" s="1" t="s">
        <v>31</v>
      </c>
    </row>
    <row r="371" spans="1:22" x14ac:dyDescent="0.2">
      <c r="A371" s="1">
        <v>4772072</v>
      </c>
      <c r="B371" s="1" t="s">
        <v>1955</v>
      </c>
      <c r="C371" s="1" t="str">
        <f>"9788024632674"</f>
        <v>9788024632674</v>
      </c>
      <c r="D371" s="1" t="str">
        <f>"9788024632988"</f>
        <v>9788024632988</v>
      </c>
      <c r="E371" s="2" t="s">
        <v>69</v>
      </c>
      <c r="F371" s="2" t="s">
        <v>1939</v>
      </c>
      <c r="G371" s="1" t="s">
        <v>24</v>
      </c>
      <c r="H371" s="1">
        <v>1</v>
      </c>
      <c r="J371" s="1" t="s">
        <v>936</v>
      </c>
      <c r="K371" s="1" t="s">
        <v>111</v>
      </c>
      <c r="L371" s="1" t="s">
        <v>1956</v>
      </c>
      <c r="O371" s="1" t="s">
        <v>171</v>
      </c>
      <c r="P371" s="4">
        <v>18.350000000000001</v>
      </c>
      <c r="Q371" s="5">
        <f t="shared" si="15"/>
        <v>22.02</v>
      </c>
      <c r="R371" s="4">
        <v>22.94</v>
      </c>
      <c r="S371" s="5">
        <f t="shared" si="16"/>
        <v>27.528000000000002</v>
      </c>
      <c r="T371" s="4">
        <v>27.52</v>
      </c>
      <c r="U371" s="5">
        <f t="shared" si="17"/>
        <v>33.024000000000001</v>
      </c>
      <c r="V371" s="1" t="s">
        <v>31</v>
      </c>
    </row>
    <row r="372" spans="1:22" x14ac:dyDescent="0.2">
      <c r="A372" s="1">
        <v>4772073</v>
      </c>
      <c r="B372" s="1" t="s">
        <v>1957</v>
      </c>
      <c r="C372" s="1" t="str">
        <f>"9788024632919"</f>
        <v>9788024632919</v>
      </c>
      <c r="D372" s="1" t="str">
        <f>"9788024634883"</f>
        <v>9788024634883</v>
      </c>
      <c r="E372" s="2" t="s">
        <v>1938</v>
      </c>
      <c r="F372" s="2" t="s">
        <v>1939</v>
      </c>
      <c r="G372" s="1" t="s">
        <v>24</v>
      </c>
      <c r="H372" s="1">
        <v>1</v>
      </c>
      <c r="I372" s="1" t="s">
        <v>1958</v>
      </c>
      <c r="J372" s="1" t="s">
        <v>1959</v>
      </c>
      <c r="K372" s="1" t="s">
        <v>79</v>
      </c>
      <c r="L372" s="1" t="s">
        <v>1960</v>
      </c>
      <c r="N372" s="1" t="s">
        <v>1961</v>
      </c>
      <c r="O372" s="1" t="s">
        <v>30</v>
      </c>
      <c r="P372" s="4">
        <v>21.1</v>
      </c>
      <c r="Q372" s="5">
        <f t="shared" si="15"/>
        <v>25.32</v>
      </c>
      <c r="R372" s="4">
        <v>26.38</v>
      </c>
      <c r="S372" s="5">
        <f t="shared" si="16"/>
        <v>31.655999999999999</v>
      </c>
      <c r="T372" s="4">
        <v>31.65</v>
      </c>
      <c r="U372" s="5">
        <f t="shared" si="17"/>
        <v>37.979999999999997</v>
      </c>
      <c r="V372" s="1" t="s">
        <v>31</v>
      </c>
    </row>
    <row r="373" spans="1:22" x14ac:dyDescent="0.2">
      <c r="A373" s="1">
        <v>4772074</v>
      </c>
      <c r="B373" s="1" t="s">
        <v>1962</v>
      </c>
      <c r="C373" s="1" t="str">
        <f>"9788024633251"</f>
        <v>9788024633251</v>
      </c>
      <c r="D373" s="1" t="str">
        <f>"9788024633442"</f>
        <v>9788024633442</v>
      </c>
      <c r="E373" s="2" t="s">
        <v>1963</v>
      </c>
      <c r="F373" s="2" t="s">
        <v>1939</v>
      </c>
      <c r="G373" s="1" t="s">
        <v>24</v>
      </c>
      <c r="H373" s="1">
        <v>1</v>
      </c>
      <c r="J373" s="1" t="s">
        <v>1964</v>
      </c>
      <c r="K373" s="1" t="s">
        <v>43</v>
      </c>
      <c r="L373" s="1" t="s">
        <v>1965</v>
      </c>
      <c r="N373" s="1" t="s">
        <v>1966</v>
      </c>
      <c r="O373" s="1" t="s">
        <v>39</v>
      </c>
      <c r="P373" s="4">
        <v>18.350000000000001</v>
      </c>
      <c r="Q373" s="5">
        <f t="shared" si="15"/>
        <v>22.02</v>
      </c>
      <c r="R373" s="4">
        <v>22.94</v>
      </c>
      <c r="S373" s="5">
        <f t="shared" si="16"/>
        <v>27.528000000000002</v>
      </c>
      <c r="T373" s="4">
        <v>27.52</v>
      </c>
      <c r="U373" s="5">
        <f t="shared" si="17"/>
        <v>33.024000000000001</v>
      </c>
      <c r="V373" s="1" t="s">
        <v>31</v>
      </c>
    </row>
    <row r="374" spans="1:22" x14ac:dyDescent="0.2">
      <c r="A374" s="1">
        <v>4772075</v>
      </c>
      <c r="B374" s="1" t="s">
        <v>1967</v>
      </c>
      <c r="C374" s="1" t="str">
        <f>"9788024633367"</f>
        <v>9788024633367</v>
      </c>
      <c r="D374" s="1" t="str">
        <f>"9788024633473"</f>
        <v>9788024633473</v>
      </c>
      <c r="E374" s="2" t="s">
        <v>69</v>
      </c>
      <c r="F374" s="2" t="s">
        <v>1939</v>
      </c>
      <c r="G374" s="1" t="s">
        <v>24</v>
      </c>
      <c r="H374" s="1">
        <v>1</v>
      </c>
      <c r="J374" s="1" t="s">
        <v>1968</v>
      </c>
      <c r="K374" s="1" t="s">
        <v>43</v>
      </c>
      <c r="L374" s="1" t="s">
        <v>1969</v>
      </c>
      <c r="N374" s="1" t="s">
        <v>1970</v>
      </c>
      <c r="O374" s="1" t="s">
        <v>39</v>
      </c>
      <c r="P374" s="4">
        <v>13.76</v>
      </c>
      <c r="Q374" s="5">
        <f t="shared" si="15"/>
        <v>16.512</v>
      </c>
      <c r="R374" s="4">
        <v>17.2</v>
      </c>
      <c r="S374" s="5">
        <f t="shared" si="16"/>
        <v>20.639999999999997</v>
      </c>
      <c r="T374" s="4">
        <v>20.64</v>
      </c>
      <c r="U374" s="5">
        <f t="shared" si="17"/>
        <v>24.768000000000001</v>
      </c>
      <c r="V374" s="1" t="s">
        <v>31</v>
      </c>
    </row>
    <row r="375" spans="1:22" x14ac:dyDescent="0.2">
      <c r="A375" s="1">
        <v>4772076</v>
      </c>
      <c r="B375" s="1" t="s">
        <v>1971</v>
      </c>
      <c r="C375" s="1" t="str">
        <f>"9788024633619"</f>
        <v>9788024633619</v>
      </c>
      <c r="D375" s="1" t="str">
        <f>"9788024633930"</f>
        <v>9788024633930</v>
      </c>
      <c r="E375" s="2" t="s">
        <v>1963</v>
      </c>
      <c r="F375" s="2" t="s">
        <v>1939</v>
      </c>
      <c r="G375" s="1" t="s">
        <v>24</v>
      </c>
      <c r="H375" s="1">
        <v>1</v>
      </c>
      <c r="J375" s="1" t="s">
        <v>1972</v>
      </c>
      <c r="K375" s="1" t="s">
        <v>248</v>
      </c>
      <c r="L375" s="1" t="s">
        <v>1973</v>
      </c>
      <c r="N375" s="1" t="s">
        <v>1974</v>
      </c>
      <c r="O375" s="1" t="s">
        <v>39</v>
      </c>
      <c r="P375" s="4">
        <v>15.6</v>
      </c>
      <c r="Q375" s="5">
        <f t="shared" si="15"/>
        <v>18.72</v>
      </c>
      <c r="R375" s="4">
        <v>19.5</v>
      </c>
      <c r="S375" s="5">
        <f t="shared" si="16"/>
        <v>23.4</v>
      </c>
      <c r="T375" s="4">
        <v>23.39</v>
      </c>
      <c r="U375" s="5">
        <f t="shared" si="17"/>
        <v>28.068000000000001</v>
      </c>
      <c r="V375" s="1" t="s">
        <v>31</v>
      </c>
    </row>
    <row r="376" spans="1:22" x14ac:dyDescent="0.2">
      <c r="A376" s="1">
        <v>4772077</v>
      </c>
      <c r="B376" s="1" t="s">
        <v>1975</v>
      </c>
      <c r="C376" s="1" t="str">
        <f>"9788024634692"</f>
        <v>9788024634692</v>
      </c>
      <c r="D376" s="1" t="str">
        <f>"9788024634913"</f>
        <v>9788024634913</v>
      </c>
      <c r="E376" s="2" t="s">
        <v>1963</v>
      </c>
      <c r="F376" s="2" t="s">
        <v>1939</v>
      </c>
      <c r="G376" s="1" t="s">
        <v>24</v>
      </c>
      <c r="H376" s="1">
        <v>1</v>
      </c>
      <c r="J376" s="1" t="s">
        <v>1976</v>
      </c>
      <c r="K376" s="1" t="s">
        <v>43</v>
      </c>
      <c r="L376" s="1" t="s">
        <v>1977</v>
      </c>
      <c r="N376" s="1" t="s">
        <v>1978</v>
      </c>
      <c r="O376" s="1" t="s">
        <v>39</v>
      </c>
      <c r="P376" s="4">
        <v>13.76</v>
      </c>
      <c r="Q376" s="5">
        <f t="shared" si="15"/>
        <v>16.512</v>
      </c>
      <c r="R376" s="4">
        <v>17.2</v>
      </c>
      <c r="S376" s="5">
        <f t="shared" si="16"/>
        <v>20.639999999999997</v>
      </c>
      <c r="T376" s="4">
        <v>20.64</v>
      </c>
      <c r="U376" s="5">
        <f t="shared" si="17"/>
        <v>24.768000000000001</v>
      </c>
      <c r="V376" s="1" t="s">
        <v>31</v>
      </c>
    </row>
    <row r="377" spans="1:22" x14ac:dyDescent="0.2">
      <c r="A377" s="1">
        <v>4772078</v>
      </c>
      <c r="B377" s="1" t="s">
        <v>1979</v>
      </c>
      <c r="C377" s="1" t="str">
        <f>"9788024634708"</f>
        <v>9788024634708</v>
      </c>
      <c r="D377" s="1" t="str">
        <f>"9788024635262"</f>
        <v>9788024635262</v>
      </c>
      <c r="E377" s="2" t="s">
        <v>1963</v>
      </c>
      <c r="F377" s="2" t="s">
        <v>1939</v>
      </c>
      <c r="G377" s="1" t="s">
        <v>24</v>
      </c>
      <c r="H377" s="1">
        <v>1</v>
      </c>
      <c r="J377" s="1" t="s">
        <v>1980</v>
      </c>
      <c r="K377" s="1" t="s">
        <v>43</v>
      </c>
      <c r="L377" s="1" t="s">
        <v>1981</v>
      </c>
      <c r="N377" s="1" t="s">
        <v>1982</v>
      </c>
      <c r="O377" s="1" t="s">
        <v>30</v>
      </c>
      <c r="P377" s="4">
        <v>13.76</v>
      </c>
      <c r="Q377" s="5">
        <f t="shared" si="15"/>
        <v>16.512</v>
      </c>
      <c r="R377" s="4">
        <v>17.2</v>
      </c>
      <c r="S377" s="5">
        <f t="shared" si="16"/>
        <v>20.639999999999997</v>
      </c>
      <c r="T377" s="4">
        <v>20.64</v>
      </c>
      <c r="U377" s="5">
        <f t="shared" si="17"/>
        <v>24.768000000000001</v>
      </c>
      <c r="V377" s="1" t="s">
        <v>31</v>
      </c>
    </row>
    <row r="378" spans="1:22" x14ac:dyDescent="0.2">
      <c r="A378" s="1">
        <v>4772079</v>
      </c>
      <c r="B378" s="1" t="s">
        <v>1983</v>
      </c>
      <c r="C378" s="1" t="str">
        <f>"9788024635163"</f>
        <v>9788024635163</v>
      </c>
      <c r="D378" s="1" t="str">
        <f>"9788024635293"</f>
        <v>9788024635293</v>
      </c>
      <c r="E378" s="2" t="s">
        <v>1984</v>
      </c>
      <c r="F378" s="2" t="s">
        <v>1939</v>
      </c>
      <c r="G378" s="1" t="s">
        <v>24</v>
      </c>
      <c r="H378" s="1">
        <v>1</v>
      </c>
      <c r="J378" s="1" t="s">
        <v>1985</v>
      </c>
      <c r="K378" s="1" t="s">
        <v>412</v>
      </c>
      <c r="L378" s="1" t="s">
        <v>1986</v>
      </c>
      <c r="N378" s="1" t="s">
        <v>1987</v>
      </c>
      <c r="O378" s="1" t="s">
        <v>39</v>
      </c>
      <c r="P378" s="4">
        <v>13.76</v>
      </c>
      <c r="Q378" s="5">
        <f t="shared" si="15"/>
        <v>16.512</v>
      </c>
      <c r="R378" s="4">
        <v>17.2</v>
      </c>
      <c r="S378" s="5">
        <f t="shared" si="16"/>
        <v>20.639999999999997</v>
      </c>
      <c r="T378" s="4">
        <v>20.64</v>
      </c>
      <c r="U378" s="5">
        <f t="shared" si="17"/>
        <v>24.768000000000001</v>
      </c>
      <c r="V378" s="1" t="s">
        <v>31</v>
      </c>
    </row>
    <row r="379" spans="1:22" x14ac:dyDescent="0.2">
      <c r="A379" s="1">
        <v>4772080</v>
      </c>
      <c r="B379" s="1" t="s">
        <v>1988</v>
      </c>
      <c r="C379" s="1" t="str">
        <f>"9788024633794"</f>
        <v>9788024633794</v>
      </c>
      <c r="D379" s="1" t="str">
        <f>"9788024633886"</f>
        <v>9788024633886</v>
      </c>
      <c r="E379" s="2" t="s">
        <v>1963</v>
      </c>
      <c r="F379" s="2" t="s">
        <v>1939</v>
      </c>
      <c r="G379" s="1" t="s">
        <v>24</v>
      </c>
      <c r="H379" s="1">
        <v>1</v>
      </c>
      <c r="J379" s="1" t="s">
        <v>1989</v>
      </c>
      <c r="K379" s="1" t="s">
        <v>788</v>
      </c>
      <c r="L379" s="1" t="s">
        <v>1990</v>
      </c>
      <c r="N379" s="1" t="s">
        <v>1991</v>
      </c>
      <c r="O379" s="1" t="s">
        <v>39</v>
      </c>
      <c r="P379" s="4">
        <v>19.27</v>
      </c>
      <c r="Q379" s="5">
        <f t="shared" si="15"/>
        <v>23.123999999999999</v>
      </c>
      <c r="R379" s="4">
        <v>24.08</v>
      </c>
      <c r="S379" s="5">
        <f t="shared" si="16"/>
        <v>28.895999999999997</v>
      </c>
      <c r="T379" s="4">
        <v>28.9</v>
      </c>
      <c r="U379" s="5">
        <f t="shared" si="17"/>
        <v>34.68</v>
      </c>
      <c r="V379" s="1" t="s">
        <v>31</v>
      </c>
    </row>
    <row r="380" spans="1:22" x14ac:dyDescent="0.2">
      <c r="A380" s="1">
        <v>4774689</v>
      </c>
      <c r="B380" s="1" t="s">
        <v>1992</v>
      </c>
      <c r="C380" s="1" t="str">
        <f>"9788024624631"</f>
        <v>9788024624631</v>
      </c>
      <c r="D380" s="1" t="str">
        <f>"9788024624884"</f>
        <v>9788024624884</v>
      </c>
      <c r="E380" s="2" t="s">
        <v>868</v>
      </c>
      <c r="F380" s="2" t="s">
        <v>1993</v>
      </c>
      <c r="G380" s="1" t="s">
        <v>24</v>
      </c>
      <c r="H380" s="1">
        <v>1</v>
      </c>
      <c r="J380" s="1" t="s">
        <v>1255</v>
      </c>
      <c r="K380" s="1" t="s">
        <v>1994</v>
      </c>
      <c r="L380" s="1" t="s">
        <v>1995</v>
      </c>
      <c r="M380" s="1" t="s">
        <v>1996</v>
      </c>
      <c r="N380" s="1" t="s">
        <v>1997</v>
      </c>
      <c r="O380" s="1" t="s">
        <v>30</v>
      </c>
      <c r="P380" s="4">
        <v>13.76</v>
      </c>
      <c r="Q380" s="5">
        <f t="shared" si="15"/>
        <v>16.512</v>
      </c>
      <c r="R380" s="4">
        <v>17.2</v>
      </c>
      <c r="S380" s="5">
        <f t="shared" si="16"/>
        <v>20.639999999999997</v>
      </c>
      <c r="T380" s="4">
        <v>20.64</v>
      </c>
      <c r="U380" s="5">
        <f t="shared" si="17"/>
        <v>24.768000000000001</v>
      </c>
      <c r="V380" s="1" t="s">
        <v>31</v>
      </c>
    </row>
    <row r="381" spans="1:22" x14ac:dyDescent="0.2">
      <c r="A381" s="1">
        <v>4774690</v>
      </c>
      <c r="B381" s="1" t="s">
        <v>1998</v>
      </c>
      <c r="C381" s="1" t="str">
        <f>"9788024624983"</f>
        <v>9788024624983</v>
      </c>
      <c r="D381" s="1" t="str">
        <f>"9788024625331"</f>
        <v>9788024625331</v>
      </c>
      <c r="E381" s="2" t="s">
        <v>855</v>
      </c>
      <c r="F381" s="2" t="s">
        <v>1993</v>
      </c>
      <c r="G381" s="1" t="s">
        <v>24</v>
      </c>
      <c r="H381" s="1">
        <v>1</v>
      </c>
      <c r="J381" s="1" t="s">
        <v>1999</v>
      </c>
      <c r="K381" s="1" t="s">
        <v>124</v>
      </c>
      <c r="L381" s="1" t="s">
        <v>2000</v>
      </c>
      <c r="M381" s="1" t="s">
        <v>2001</v>
      </c>
      <c r="N381" s="1" t="s">
        <v>2002</v>
      </c>
      <c r="O381" s="1" t="s">
        <v>39</v>
      </c>
      <c r="P381" s="4">
        <v>13.76</v>
      </c>
      <c r="Q381" s="5">
        <f t="shared" si="15"/>
        <v>16.512</v>
      </c>
      <c r="R381" s="4">
        <v>17.2</v>
      </c>
      <c r="S381" s="5">
        <f t="shared" si="16"/>
        <v>20.639999999999997</v>
      </c>
      <c r="T381" s="4">
        <v>20.64</v>
      </c>
      <c r="U381" s="5">
        <f t="shared" si="17"/>
        <v>24.768000000000001</v>
      </c>
      <c r="V381" s="1" t="s">
        <v>31</v>
      </c>
    </row>
    <row r="382" spans="1:22" x14ac:dyDescent="0.2">
      <c r="A382" s="1">
        <v>4774691</v>
      </c>
      <c r="B382" s="1" t="s">
        <v>2003</v>
      </c>
      <c r="C382" s="1" t="str">
        <f>"9788024627823"</f>
        <v>9788024627823</v>
      </c>
      <c r="D382" s="1" t="str">
        <f>"9788024628035"</f>
        <v>9788024628035</v>
      </c>
      <c r="E382" s="2" t="s">
        <v>1020</v>
      </c>
      <c r="F382" s="2" t="s">
        <v>1993</v>
      </c>
      <c r="G382" s="1" t="s">
        <v>24</v>
      </c>
      <c r="H382" s="1">
        <v>1</v>
      </c>
      <c r="J382" s="1" t="s">
        <v>1084</v>
      </c>
      <c r="K382" s="1" t="s">
        <v>788</v>
      </c>
      <c r="L382" s="1" t="s">
        <v>2004</v>
      </c>
      <c r="M382" s="1" t="s">
        <v>2005</v>
      </c>
      <c r="N382" s="1" t="s">
        <v>2006</v>
      </c>
      <c r="O382" s="1" t="s">
        <v>39</v>
      </c>
      <c r="P382" s="4">
        <v>17.43</v>
      </c>
      <c r="Q382" s="5">
        <f t="shared" si="15"/>
        <v>20.916</v>
      </c>
      <c r="R382" s="4">
        <v>21.79</v>
      </c>
      <c r="S382" s="5">
        <f t="shared" si="16"/>
        <v>26.148</v>
      </c>
      <c r="T382" s="4">
        <v>26.15</v>
      </c>
      <c r="U382" s="5">
        <f t="shared" si="17"/>
        <v>31.379999999999995</v>
      </c>
      <c r="V382" s="1" t="s">
        <v>31</v>
      </c>
    </row>
    <row r="383" spans="1:22" x14ac:dyDescent="0.2">
      <c r="A383" s="1">
        <v>4774692</v>
      </c>
      <c r="B383" s="1" t="s">
        <v>2007</v>
      </c>
      <c r="C383" s="1" t="str">
        <f>"9788024628721"</f>
        <v>9788024628721</v>
      </c>
      <c r="D383" s="1" t="str">
        <f>"9788024629148"</f>
        <v>9788024629148</v>
      </c>
      <c r="E383" s="2" t="s">
        <v>1514</v>
      </c>
      <c r="F383" s="2" t="s">
        <v>1993</v>
      </c>
      <c r="G383" s="1" t="s">
        <v>24</v>
      </c>
      <c r="H383" s="1">
        <v>1</v>
      </c>
      <c r="J383" s="1" t="s">
        <v>2008</v>
      </c>
      <c r="K383" s="1" t="s">
        <v>79</v>
      </c>
      <c r="L383" s="1" t="s">
        <v>2009</v>
      </c>
      <c r="M383" s="1">
        <v>410</v>
      </c>
      <c r="N383" s="1" t="s">
        <v>825</v>
      </c>
      <c r="O383" s="1" t="s">
        <v>39</v>
      </c>
      <c r="P383" s="4">
        <v>17.43</v>
      </c>
      <c r="Q383" s="5">
        <f t="shared" si="15"/>
        <v>20.916</v>
      </c>
      <c r="R383" s="4">
        <v>21.79</v>
      </c>
      <c r="S383" s="5">
        <f t="shared" si="16"/>
        <v>26.148</v>
      </c>
      <c r="T383" s="4">
        <v>26.15</v>
      </c>
      <c r="U383" s="5">
        <f t="shared" si="17"/>
        <v>31.379999999999995</v>
      </c>
      <c r="V383" s="1" t="s">
        <v>31</v>
      </c>
    </row>
    <row r="384" spans="1:22" x14ac:dyDescent="0.2">
      <c r="A384" s="1">
        <v>4774693</v>
      </c>
      <c r="B384" s="1" t="s">
        <v>2010</v>
      </c>
      <c r="C384" s="1" t="str">
        <f>"9788024629452"</f>
        <v>9788024629452</v>
      </c>
      <c r="D384" s="1" t="str">
        <f>"9788024629476"</f>
        <v>9788024629476</v>
      </c>
      <c r="E384" s="2" t="s">
        <v>1463</v>
      </c>
      <c r="F384" s="2" t="s">
        <v>1993</v>
      </c>
      <c r="G384" s="1" t="s">
        <v>24</v>
      </c>
      <c r="H384" s="1">
        <v>1</v>
      </c>
      <c r="J384" s="1" t="s">
        <v>2011</v>
      </c>
      <c r="K384" s="1" t="s">
        <v>334</v>
      </c>
      <c r="L384" s="1" t="s">
        <v>2012</v>
      </c>
      <c r="M384" s="1" t="s">
        <v>1759</v>
      </c>
      <c r="O384" s="1" t="s">
        <v>39</v>
      </c>
      <c r="P384" s="4">
        <v>20.18</v>
      </c>
      <c r="Q384" s="5">
        <f t="shared" si="15"/>
        <v>24.215999999999998</v>
      </c>
      <c r="R384" s="4">
        <v>25.23</v>
      </c>
      <c r="S384" s="5">
        <f t="shared" si="16"/>
        <v>30.276</v>
      </c>
      <c r="T384" s="4">
        <v>30.28</v>
      </c>
      <c r="U384" s="5">
        <f t="shared" si="17"/>
        <v>36.335999999999999</v>
      </c>
      <c r="V384" s="1" t="s">
        <v>31</v>
      </c>
    </row>
    <row r="385" spans="1:22" x14ac:dyDescent="0.2">
      <c r="A385" s="1">
        <v>4774694</v>
      </c>
      <c r="B385" s="1" t="s">
        <v>2013</v>
      </c>
      <c r="C385" s="1" t="str">
        <f>"9788024629377"</f>
        <v>9788024629377</v>
      </c>
      <c r="D385" s="1" t="str">
        <f>"9788024629575"</f>
        <v>9788024629575</v>
      </c>
      <c r="E385" s="2" t="s">
        <v>1641</v>
      </c>
      <c r="F385" s="2" t="s">
        <v>1993</v>
      </c>
      <c r="G385" s="1" t="s">
        <v>24</v>
      </c>
      <c r="H385" s="1">
        <v>1</v>
      </c>
      <c r="J385" s="1" t="s">
        <v>2014</v>
      </c>
      <c r="K385" s="1" t="s">
        <v>1945</v>
      </c>
      <c r="L385" s="1" t="s">
        <v>2015</v>
      </c>
      <c r="M385" s="1" t="s">
        <v>1114</v>
      </c>
      <c r="N385" s="1" t="s">
        <v>1947</v>
      </c>
      <c r="O385" s="1" t="s">
        <v>39</v>
      </c>
      <c r="P385" s="4">
        <v>17.43</v>
      </c>
      <c r="Q385" s="5">
        <f t="shared" si="15"/>
        <v>20.916</v>
      </c>
      <c r="R385" s="4">
        <v>21.79</v>
      </c>
      <c r="S385" s="5">
        <f t="shared" si="16"/>
        <v>26.148</v>
      </c>
      <c r="T385" s="4">
        <v>26.15</v>
      </c>
      <c r="U385" s="5">
        <f t="shared" si="17"/>
        <v>31.379999999999995</v>
      </c>
      <c r="V385" s="1" t="s">
        <v>31</v>
      </c>
    </row>
    <row r="386" spans="1:22" x14ac:dyDescent="0.2">
      <c r="A386" s="1">
        <v>4774695</v>
      </c>
      <c r="B386" s="1" t="s">
        <v>2016</v>
      </c>
      <c r="C386" s="1" t="str">
        <f>"9788024629292"</f>
        <v>9788024629292</v>
      </c>
      <c r="D386" s="1" t="str">
        <f>"9788024629605"</f>
        <v>9788024629605</v>
      </c>
      <c r="E386" s="2" t="s">
        <v>1544</v>
      </c>
      <c r="F386" s="2" t="s">
        <v>1993</v>
      </c>
      <c r="G386" s="1" t="s">
        <v>24</v>
      </c>
      <c r="H386" s="1">
        <v>1</v>
      </c>
      <c r="J386" s="1" t="s">
        <v>2017</v>
      </c>
      <c r="K386" s="1" t="s">
        <v>79</v>
      </c>
      <c r="L386" s="1" t="s">
        <v>2018</v>
      </c>
      <c r="M386" s="1" t="s">
        <v>457</v>
      </c>
      <c r="N386" s="1" t="s">
        <v>2019</v>
      </c>
      <c r="O386" s="1" t="s">
        <v>39</v>
      </c>
      <c r="P386" s="4">
        <v>13.76</v>
      </c>
      <c r="Q386" s="5">
        <f t="shared" si="15"/>
        <v>16.512</v>
      </c>
      <c r="R386" s="4">
        <v>17.2</v>
      </c>
      <c r="S386" s="5">
        <f t="shared" si="16"/>
        <v>20.639999999999997</v>
      </c>
      <c r="T386" s="4">
        <v>20.64</v>
      </c>
      <c r="U386" s="5">
        <f t="shared" si="17"/>
        <v>24.768000000000001</v>
      </c>
      <c r="V386" s="1" t="s">
        <v>31</v>
      </c>
    </row>
    <row r="387" spans="1:22" x14ac:dyDescent="0.2">
      <c r="A387" s="1">
        <v>4774696</v>
      </c>
      <c r="B387" s="1" t="s">
        <v>2020</v>
      </c>
      <c r="C387" s="1" t="str">
        <f>"9788024628844"</f>
        <v>9788024628844</v>
      </c>
      <c r="D387" s="1" t="str">
        <f>"9788024629711"</f>
        <v>9788024629711</v>
      </c>
      <c r="E387" s="2" t="s">
        <v>1132</v>
      </c>
      <c r="F387" s="2" t="s">
        <v>1993</v>
      </c>
      <c r="G387" s="1" t="s">
        <v>24</v>
      </c>
      <c r="H387" s="1">
        <v>1</v>
      </c>
      <c r="J387" s="1" t="s">
        <v>2021</v>
      </c>
      <c r="K387" s="1" t="s">
        <v>79</v>
      </c>
      <c r="L387" s="1" t="s">
        <v>2022</v>
      </c>
      <c r="M387" s="1" t="s">
        <v>2023</v>
      </c>
      <c r="N387" s="1" t="s">
        <v>2024</v>
      </c>
      <c r="O387" s="1" t="s">
        <v>39</v>
      </c>
      <c r="P387" s="4">
        <v>13.76</v>
      </c>
      <c r="Q387" s="5">
        <f t="shared" ref="Q387:Q450" si="18">P387*1.2</f>
        <v>16.512</v>
      </c>
      <c r="R387" s="4">
        <v>17.2</v>
      </c>
      <c r="S387" s="5">
        <f t="shared" ref="S387:S450" si="19">R387*1.2</f>
        <v>20.639999999999997</v>
      </c>
      <c r="T387" s="4">
        <v>20.64</v>
      </c>
      <c r="U387" s="5">
        <f t="shared" ref="U387:U450" si="20">T387*1.2</f>
        <v>24.768000000000001</v>
      </c>
      <c r="V387" s="1" t="s">
        <v>31</v>
      </c>
    </row>
    <row r="388" spans="1:22" x14ac:dyDescent="0.2">
      <c r="A388" s="1">
        <v>4774697</v>
      </c>
      <c r="B388" s="1" t="s">
        <v>2025</v>
      </c>
      <c r="C388" s="1" t="str">
        <f>"9788024622071"</f>
        <v>9788024622071</v>
      </c>
      <c r="D388" s="1" t="str">
        <f>"9788024629810"</f>
        <v>9788024629810</v>
      </c>
      <c r="E388" s="2" t="s">
        <v>981</v>
      </c>
      <c r="F388" s="2" t="s">
        <v>1993</v>
      </c>
      <c r="G388" s="1" t="s">
        <v>24</v>
      </c>
      <c r="H388" s="1">
        <v>1</v>
      </c>
      <c r="J388" s="1" t="s">
        <v>2026</v>
      </c>
      <c r="K388" s="1" t="s">
        <v>79</v>
      </c>
      <c r="L388" s="1" t="s">
        <v>2027</v>
      </c>
      <c r="M388" s="1" t="s">
        <v>2028</v>
      </c>
      <c r="N388" s="1" t="s">
        <v>2029</v>
      </c>
      <c r="O388" s="1" t="s">
        <v>171</v>
      </c>
      <c r="P388" s="4">
        <v>13.76</v>
      </c>
      <c r="Q388" s="5">
        <f t="shared" si="18"/>
        <v>16.512</v>
      </c>
      <c r="R388" s="4">
        <v>17.2</v>
      </c>
      <c r="S388" s="5">
        <f t="shared" si="19"/>
        <v>20.639999999999997</v>
      </c>
      <c r="T388" s="4">
        <v>20.64</v>
      </c>
      <c r="U388" s="5">
        <f t="shared" si="20"/>
        <v>24.768000000000001</v>
      </c>
      <c r="V388" s="1" t="s">
        <v>31</v>
      </c>
    </row>
    <row r="389" spans="1:22" x14ac:dyDescent="0.2">
      <c r="A389" s="1">
        <v>4774698</v>
      </c>
      <c r="B389" s="1" t="s">
        <v>2030</v>
      </c>
      <c r="C389" s="1" t="str">
        <f>"9788024629940"</f>
        <v>9788024629940</v>
      </c>
      <c r="D389" s="1" t="str">
        <f>"9788024630137"</f>
        <v>9788024630137</v>
      </c>
      <c r="E389" s="2" t="s">
        <v>1099</v>
      </c>
      <c r="F389" s="2" t="s">
        <v>1993</v>
      </c>
      <c r="G389" s="1" t="s">
        <v>24</v>
      </c>
      <c r="H389" s="1">
        <v>1</v>
      </c>
      <c r="J389" s="1" t="s">
        <v>2031</v>
      </c>
      <c r="K389" s="1" t="s">
        <v>260</v>
      </c>
      <c r="L389" s="1" t="s">
        <v>2032</v>
      </c>
      <c r="M389" s="1" t="s">
        <v>2033</v>
      </c>
      <c r="N389" s="1" t="s">
        <v>2034</v>
      </c>
      <c r="O389" s="1" t="s">
        <v>39</v>
      </c>
      <c r="P389" s="4">
        <v>30.28</v>
      </c>
      <c r="Q389" s="5">
        <f t="shared" si="18"/>
        <v>36.335999999999999</v>
      </c>
      <c r="R389" s="4">
        <v>37.840000000000003</v>
      </c>
      <c r="S389" s="5">
        <f t="shared" si="19"/>
        <v>45.408000000000001</v>
      </c>
      <c r="T389" s="4">
        <v>45.41</v>
      </c>
      <c r="U389" s="5">
        <f t="shared" si="20"/>
        <v>54.491999999999997</v>
      </c>
      <c r="V389" s="1" t="s">
        <v>31</v>
      </c>
    </row>
    <row r="390" spans="1:22" x14ac:dyDescent="0.2">
      <c r="A390" s="1">
        <v>4774699</v>
      </c>
      <c r="B390" s="1" t="s">
        <v>2035</v>
      </c>
      <c r="C390" s="1" t="str">
        <f>"9788024628448"</f>
        <v>9788024628448</v>
      </c>
      <c r="D390" s="1" t="str">
        <f>"9788024630335"</f>
        <v>9788024630335</v>
      </c>
      <c r="E390" s="2" t="s">
        <v>1132</v>
      </c>
      <c r="F390" s="2" t="s">
        <v>1993</v>
      </c>
      <c r="G390" s="1" t="s">
        <v>24</v>
      </c>
      <c r="H390" s="1">
        <v>1</v>
      </c>
      <c r="J390" s="1" t="s">
        <v>2036</v>
      </c>
      <c r="K390" s="1" t="s">
        <v>181</v>
      </c>
      <c r="L390" s="1" t="s">
        <v>2037</v>
      </c>
      <c r="M390" s="1" t="s">
        <v>2038</v>
      </c>
      <c r="N390" s="1" t="s">
        <v>2039</v>
      </c>
      <c r="O390" s="1" t="s">
        <v>39</v>
      </c>
      <c r="P390" s="4">
        <v>21.1</v>
      </c>
      <c r="Q390" s="5">
        <f t="shared" si="18"/>
        <v>25.32</v>
      </c>
      <c r="R390" s="4">
        <v>26.38</v>
      </c>
      <c r="S390" s="5">
        <f t="shared" si="19"/>
        <v>31.655999999999999</v>
      </c>
      <c r="T390" s="4">
        <v>31.65</v>
      </c>
      <c r="U390" s="5">
        <f t="shared" si="20"/>
        <v>37.979999999999997</v>
      </c>
      <c r="V390" s="1" t="s">
        <v>31</v>
      </c>
    </row>
    <row r="391" spans="1:22" x14ac:dyDescent="0.2">
      <c r="A391" s="1">
        <v>4774700</v>
      </c>
      <c r="B391" s="1" t="s">
        <v>2040</v>
      </c>
      <c r="C391" s="1" t="str">
        <f>"9788024630632"</f>
        <v>9788024630632</v>
      </c>
      <c r="D391" s="1" t="str">
        <f>"9788024630786"</f>
        <v>9788024630786</v>
      </c>
      <c r="E391" s="2" t="s">
        <v>1544</v>
      </c>
      <c r="F391" s="2" t="s">
        <v>1993</v>
      </c>
      <c r="G391" s="1" t="s">
        <v>24</v>
      </c>
      <c r="H391" s="1">
        <v>1</v>
      </c>
      <c r="J391" s="1" t="s">
        <v>2041</v>
      </c>
      <c r="K391" s="1" t="s">
        <v>277</v>
      </c>
      <c r="L391" s="1" t="s">
        <v>2042</v>
      </c>
      <c r="M391" s="1" t="s">
        <v>2043</v>
      </c>
      <c r="N391" s="1" t="s">
        <v>2044</v>
      </c>
      <c r="O391" s="1" t="s">
        <v>39</v>
      </c>
      <c r="P391" s="4">
        <v>24.77</v>
      </c>
      <c r="Q391" s="5">
        <f t="shared" si="18"/>
        <v>29.723999999999997</v>
      </c>
      <c r="R391" s="4">
        <v>30.96</v>
      </c>
      <c r="S391" s="5">
        <f t="shared" si="19"/>
        <v>37.152000000000001</v>
      </c>
      <c r="T391" s="4">
        <v>37.159999999999997</v>
      </c>
      <c r="U391" s="5">
        <f t="shared" si="20"/>
        <v>44.591999999999992</v>
      </c>
      <c r="V391" s="1" t="s">
        <v>31</v>
      </c>
    </row>
    <row r="392" spans="1:22" x14ac:dyDescent="0.2">
      <c r="A392" s="1">
        <v>4774701</v>
      </c>
      <c r="B392" s="1" t="s">
        <v>2045</v>
      </c>
      <c r="C392" s="1" t="str">
        <f>"9788024630731"</f>
        <v>9788024630731</v>
      </c>
      <c r="D392" s="1" t="str">
        <f>"9788024630878"</f>
        <v>9788024630878</v>
      </c>
      <c r="E392" s="2" t="s">
        <v>1641</v>
      </c>
      <c r="F392" s="2" t="s">
        <v>1993</v>
      </c>
      <c r="G392" s="1" t="s">
        <v>24</v>
      </c>
      <c r="H392" s="1">
        <v>1</v>
      </c>
      <c r="J392" s="1" t="s">
        <v>2046</v>
      </c>
      <c r="K392" s="1" t="s">
        <v>359</v>
      </c>
      <c r="L392" s="1" t="s">
        <v>2047</v>
      </c>
      <c r="M392" s="1" t="s">
        <v>2048</v>
      </c>
      <c r="N392" s="1" t="s">
        <v>2049</v>
      </c>
      <c r="O392" s="1" t="s">
        <v>39</v>
      </c>
      <c r="P392" s="4">
        <v>13.76</v>
      </c>
      <c r="Q392" s="5">
        <f t="shared" si="18"/>
        <v>16.512</v>
      </c>
      <c r="R392" s="4">
        <v>17.2</v>
      </c>
      <c r="S392" s="5">
        <f t="shared" si="19"/>
        <v>20.639999999999997</v>
      </c>
      <c r="T392" s="4">
        <v>20.64</v>
      </c>
      <c r="U392" s="5">
        <f t="shared" si="20"/>
        <v>24.768000000000001</v>
      </c>
      <c r="V392" s="1" t="s">
        <v>31</v>
      </c>
    </row>
    <row r="393" spans="1:22" x14ac:dyDescent="0.2">
      <c r="A393" s="1">
        <v>4774702</v>
      </c>
      <c r="B393" s="1" t="s">
        <v>2050</v>
      </c>
      <c r="C393" s="1" t="str">
        <f>"9788024630762"</f>
        <v>9788024630762</v>
      </c>
      <c r="D393" s="1" t="str">
        <f>"9788024631042"</f>
        <v>9788024631042</v>
      </c>
      <c r="E393" s="2" t="s">
        <v>1695</v>
      </c>
      <c r="F393" s="2" t="s">
        <v>1993</v>
      </c>
      <c r="G393" s="1" t="s">
        <v>24</v>
      </c>
      <c r="H393" s="1">
        <v>1</v>
      </c>
      <c r="J393" s="1" t="s">
        <v>2051</v>
      </c>
      <c r="K393" s="1" t="s">
        <v>2052</v>
      </c>
      <c r="L393" s="1" t="s">
        <v>2053</v>
      </c>
      <c r="M393" s="1" t="s">
        <v>2054</v>
      </c>
      <c r="N393" s="1" t="s">
        <v>2055</v>
      </c>
      <c r="O393" s="1" t="s">
        <v>39</v>
      </c>
      <c r="P393" s="4">
        <v>13.76</v>
      </c>
      <c r="Q393" s="5">
        <f t="shared" si="18"/>
        <v>16.512</v>
      </c>
      <c r="R393" s="4">
        <v>17.2</v>
      </c>
      <c r="S393" s="5">
        <f t="shared" si="19"/>
        <v>20.639999999999997</v>
      </c>
      <c r="T393" s="4">
        <v>20.64</v>
      </c>
      <c r="U393" s="5">
        <f t="shared" si="20"/>
        <v>24.768000000000001</v>
      </c>
      <c r="V393" s="1" t="s">
        <v>31</v>
      </c>
    </row>
    <row r="394" spans="1:22" x14ac:dyDescent="0.2">
      <c r="A394" s="1">
        <v>4774703</v>
      </c>
      <c r="B394" s="1" t="s">
        <v>2056</v>
      </c>
      <c r="C394" s="1" t="str">
        <f>"9788024630755"</f>
        <v>9788024630755</v>
      </c>
      <c r="D394" s="1" t="str">
        <f>"9788024631240"</f>
        <v>9788024631240</v>
      </c>
      <c r="E394" s="2" t="s">
        <v>1480</v>
      </c>
      <c r="F394" s="2" t="s">
        <v>1993</v>
      </c>
      <c r="G394" s="1" t="s">
        <v>24</v>
      </c>
      <c r="H394" s="1">
        <v>1</v>
      </c>
      <c r="J394" s="1" t="s">
        <v>2057</v>
      </c>
      <c r="K394" s="1" t="s">
        <v>1363</v>
      </c>
      <c r="L394" s="1" t="s">
        <v>2058</v>
      </c>
      <c r="M394" s="1" t="s">
        <v>2059</v>
      </c>
      <c r="N394" s="1" t="s">
        <v>2060</v>
      </c>
      <c r="O394" s="1" t="s">
        <v>39</v>
      </c>
      <c r="P394" s="4">
        <v>13.76</v>
      </c>
      <c r="Q394" s="5">
        <f t="shared" si="18"/>
        <v>16.512</v>
      </c>
      <c r="R394" s="4">
        <v>17.2</v>
      </c>
      <c r="S394" s="5">
        <f t="shared" si="19"/>
        <v>20.639999999999997</v>
      </c>
      <c r="T394" s="4">
        <v>20.64</v>
      </c>
      <c r="U394" s="5">
        <f t="shared" si="20"/>
        <v>24.768000000000001</v>
      </c>
      <c r="V394" s="1" t="s">
        <v>31</v>
      </c>
    </row>
    <row r="395" spans="1:22" x14ac:dyDescent="0.2">
      <c r="A395" s="1">
        <v>4774704</v>
      </c>
      <c r="B395" s="1" t="s">
        <v>2061</v>
      </c>
      <c r="C395" s="1" t="str">
        <f>"9788024631622"</f>
        <v>9788024631622</v>
      </c>
      <c r="D395" s="1" t="str">
        <f>"9788024631707"</f>
        <v>9788024631707</v>
      </c>
      <c r="E395" s="2" t="s">
        <v>1641</v>
      </c>
      <c r="F395" s="2" t="s">
        <v>1993</v>
      </c>
      <c r="G395" s="1" t="s">
        <v>24</v>
      </c>
      <c r="H395" s="1">
        <v>1</v>
      </c>
      <c r="J395" s="1" t="s">
        <v>2062</v>
      </c>
      <c r="K395" s="1" t="s">
        <v>72</v>
      </c>
      <c r="L395" s="1" t="s">
        <v>2063</v>
      </c>
      <c r="M395" s="1" t="s">
        <v>190</v>
      </c>
      <c r="N395" s="1" t="s">
        <v>2064</v>
      </c>
      <c r="O395" s="1" t="s">
        <v>39</v>
      </c>
      <c r="P395" s="4">
        <v>13.76</v>
      </c>
      <c r="Q395" s="5">
        <f t="shared" si="18"/>
        <v>16.512</v>
      </c>
      <c r="R395" s="4">
        <v>17.2</v>
      </c>
      <c r="S395" s="5">
        <f t="shared" si="19"/>
        <v>20.639999999999997</v>
      </c>
      <c r="T395" s="4">
        <v>20.64</v>
      </c>
      <c r="U395" s="5">
        <f t="shared" si="20"/>
        <v>24.768000000000001</v>
      </c>
      <c r="V395" s="1" t="s">
        <v>31</v>
      </c>
    </row>
    <row r="396" spans="1:22" x14ac:dyDescent="0.2">
      <c r="A396" s="1">
        <v>4774705</v>
      </c>
      <c r="B396" s="1" t="s">
        <v>2065</v>
      </c>
      <c r="C396" s="1" t="str">
        <f>"9788024631516"</f>
        <v>9788024631516</v>
      </c>
      <c r="D396" s="1" t="str">
        <f>"9788024631929"</f>
        <v>9788024631929</v>
      </c>
      <c r="E396" s="2" t="s">
        <v>1132</v>
      </c>
      <c r="F396" s="2" t="s">
        <v>1993</v>
      </c>
      <c r="G396" s="1" t="s">
        <v>24</v>
      </c>
      <c r="H396" s="1">
        <v>1</v>
      </c>
      <c r="J396" s="1" t="s">
        <v>2066</v>
      </c>
      <c r="K396" s="1" t="s">
        <v>111</v>
      </c>
      <c r="L396" s="1" t="s">
        <v>2067</v>
      </c>
      <c r="M396" s="1" t="s">
        <v>2068</v>
      </c>
      <c r="O396" s="1" t="s">
        <v>39</v>
      </c>
      <c r="P396" s="4">
        <v>13.76</v>
      </c>
      <c r="Q396" s="5">
        <f t="shared" si="18"/>
        <v>16.512</v>
      </c>
      <c r="R396" s="4">
        <v>17.2</v>
      </c>
      <c r="S396" s="5">
        <f t="shared" si="19"/>
        <v>20.639999999999997</v>
      </c>
      <c r="T396" s="4">
        <v>20.64</v>
      </c>
      <c r="U396" s="5">
        <f t="shared" si="20"/>
        <v>24.768000000000001</v>
      </c>
      <c r="V396" s="1" t="s">
        <v>31</v>
      </c>
    </row>
    <row r="397" spans="1:22" x14ac:dyDescent="0.2">
      <c r="A397" s="1">
        <v>4774706</v>
      </c>
      <c r="B397" s="1" t="s">
        <v>2069</v>
      </c>
      <c r="C397" s="1" t="str">
        <f>"9788024628820"</f>
        <v>9788024628820</v>
      </c>
      <c r="D397" s="1" t="str">
        <f>"9788024632667"</f>
        <v>9788024632667</v>
      </c>
      <c r="E397" s="2" t="s">
        <v>1132</v>
      </c>
      <c r="F397" s="2" t="s">
        <v>1993</v>
      </c>
      <c r="G397" s="1" t="s">
        <v>24</v>
      </c>
      <c r="H397" s="1">
        <v>1</v>
      </c>
      <c r="J397" s="1" t="s">
        <v>2070</v>
      </c>
      <c r="K397" s="1" t="s">
        <v>2071</v>
      </c>
      <c r="L397" s="1" t="s">
        <v>2072</v>
      </c>
      <c r="M397" s="1" t="s">
        <v>2073</v>
      </c>
      <c r="N397" s="1" t="s">
        <v>2074</v>
      </c>
      <c r="O397" s="1" t="s">
        <v>39</v>
      </c>
      <c r="P397" s="4">
        <v>14.68</v>
      </c>
      <c r="Q397" s="5">
        <f t="shared" si="18"/>
        <v>17.616</v>
      </c>
      <c r="R397" s="4">
        <v>18.350000000000001</v>
      </c>
      <c r="S397" s="5">
        <f t="shared" si="19"/>
        <v>22.02</v>
      </c>
      <c r="T397" s="4">
        <v>22.02</v>
      </c>
      <c r="U397" s="5">
        <f t="shared" si="20"/>
        <v>26.423999999999999</v>
      </c>
      <c r="V397" s="1" t="s">
        <v>31</v>
      </c>
    </row>
    <row r="398" spans="1:22" x14ac:dyDescent="0.2">
      <c r="A398" s="1">
        <v>4774707</v>
      </c>
      <c r="B398" s="1" t="s">
        <v>2075</v>
      </c>
      <c r="C398" s="1" t="str">
        <f>"9788024623221"</f>
        <v>9788024623221</v>
      </c>
      <c r="D398" s="1" t="str">
        <f>"9788024633190"</f>
        <v>9788024633190</v>
      </c>
      <c r="E398" s="2" t="s">
        <v>1020</v>
      </c>
      <c r="F398" s="2" t="s">
        <v>1993</v>
      </c>
      <c r="G398" s="1" t="s">
        <v>24</v>
      </c>
      <c r="H398" s="1">
        <v>1</v>
      </c>
      <c r="J398" s="1" t="s">
        <v>2076</v>
      </c>
      <c r="K398" s="1" t="s">
        <v>79</v>
      </c>
      <c r="L398" s="1" t="s">
        <v>2077</v>
      </c>
      <c r="M398" s="1">
        <v>414</v>
      </c>
      <c r="N398" s="1" t="s">
        <v>1750</v>
      </c>
      <c r="O398" s="1" t="s">
        <v>39</v>
      </c>
      <c r="P398" s="4">
        <v>13.76</v>
      </c>
      <c r="Q398" s="5">
        <f t="shared" si="18"/>
        <v>16.512</v>
      </c>
      <c r="R398" s="4">
        <v>17.2</v>
      </c>
      <c r="S398" s="5">
        <f t="shared" si="19"/>
        <v>20.639999999999997</v>
      </c>
      <c r="T398" s="4">
        <v>20.64</v>
      </c>
      <c r="U398" s="5">
        <f t="shared" si="20"/>
        <v>24.768000000000001</v>
      </c>
      <c r="V398" s="1" t="s">
        <v>31</v>
      </c>
    </row>
    <row r="399" spans="1:22" x14ac:dyDescent="0.2">
      <c r="A399" s="1">
        <v>4804590</v>
      </c>
      <c r="B399" s="1" t="s">
        <v>2078</v>
      </c>
      <c r="C399" s="1" t="str">
        <f>"9788024633077"</f>
        <v>9788024633077</v>
      </c>
      <c r="D399" s="1" t="str">
        <f>"9788024633305"</f>
        <v>9788024633305</v>
      </c>
      <c r="E399" s="2" t="s">
        <v>1963</v>
      </c>
      <c r="F399" s="2" t="s">
        <v>2079</v>
      </c>
      <c r="G399" s="1" t="s">
        <v>24</v>
      </c>
      <c r="H399" s="1">
        <v>1</v>
      </c>
      <c r="J399" s="1" t="s">
        <v>2080</v>
      </c>
      <c r="K399" s="1" t="s">
        <v>50</v>
      </c>
      <c r="L399" s="1" t="s">
        <v>2081</v>
      </c>
      <c r="M399" s="1" t="s">
        <v>2082</v>
      </c>
      <c r="N399" s="1" t="s">
        <v>2083</v>
      </c>
      <c r="O399" s="1" t="s">
        <v>39</v>
      </c>
      <c r="P399" s="4">
        <v>13.76</v>
      </c>
      <c r="Q399" s="5">
        <f t="shared" si="18"/>
        <v>16.512</v>
      </c>
      <c r="R399" s="4">
        <v>17.2</v>
      </c>
      <c r="S399" s="5">
        <f t="shared" si="19"/>
        <v>20.639999999999997</v>
      </c>
      <c r="T399" s="4">
        <v>20.64</v>
      </c>
      <c r="U399" s="5">
        <f t="shared" si="20"/>
        <v>24.768000000000001</v>
      </c>
      <c r="V399" s="1" t="s">
        <v>31</v>
      </c>
    </row>
    <row r="400" spans="1:22" x14ac:dyDescent="0.2">
      <c r="A400" s="1">
        <v>4804591</v>
      </c>
      <c r="B400" s="1" t="s">
        <v>2084</v>
      </c>
      <c r="C400" s="1" t="str">
        <f>"9788024634371"</f>
        <v>9788024634371</v>
      </c>
      <c r="D400" s="1" t="str">
        <f>"9788024634562"</f>
        <v>9788024634562</v>
      </c>
      <c r="E400" s="2" t="s">
        <v>1938</v>
      </c>
      <c r="F400" s="2" t="s">
        <v>2079</v>
      </c>
      <c r="G400" s="1" t="s">
        <v>24</v>
      </c>
      <c r="H400" s="1">
        <v>1</v>
      </c>
      <c r="J400" s="1" t="s">
        <v>2085</v>
      </c>
      <c r="K400" s="1" t="s">
        <v>111</v>
      </c>
      <c r="O400" s="1" t="s">
        <v>39</v>
      </c>
      <c r="P400" s="4">
        <v>21.1</v>
      </c>
      <c r="Q400" s="5">
        <f t="shared" si="18"/>
        <v>25.32</v>
      </c>
      <c r="R400" s="4">
        <v>26.38</v>
      </c>
      <c r="S400" s="5">
        <f t="shared" si="19"/>
        <v>31.655999999999999</v>
      </c>
      <c r="T400" s="4">
        <v>31.65</v>
      </c>
      <c r="U400" s="5">
        <f t="shared" si="20"/>
        <v>37.979999999999997</v>
      </c>
      <c r="V400" s="1" t="s">
        <v>32</v>
      </c>
    </row>
    <row r="401" spans="1:22" x14ac:dyDescent="0.2">
      <c r="A401" s="1">
        <v>4806570</v>
      </c>
      <c r="B401" s="1" t="s">
        <v>2086</v>
      </c>
      <c r="C401" s="1" t="str">
        <f>"9788024631660"</f>
        <v>9788024631660</v>
      </c>
      <c r="D401" s="1" t="str">
        <f>"9788024631905"</f>
        <v>9788024631905</v>
      </c>
      <c r="E401" s="2" t="s">
        <v>1938</v>
      </c>
      <c r="F401" s="2" t="s">
        <v>2087</v>
      </c>
      <c r="G401" s="1" t="s">
        <v>24</v>
      </c>
      <c r="H401" s="1">
        <v>1</v>
      </c>
      <c r="I401" s="1" t="s">
        <v>1137</v>
      </c>
      <c r="J401" s="1" t="s">
        <v>2088</v>
      </c>
      <c r="K401" s="1" t="s">
        <v>111</v>
      </c>
      <c r="L401" s="1" t="s">
        <v>2089</v>
      </c>
      <c r="M401" s="1">
        <v>980</v>
      </c>
      <c r="O401" s="1" t="s">
        <v>171</v>
      </c>
      <c r="P401" s="4">
        <v>13.76</v>
      </c>
      <c r="Q401" s="5">
        <f t="shared" si="18"/>
        <v>16.512</v>
      </c>
      <c r="R401" s="4">
        <v>17.2</v>
      </c>
      <c r="S401" s="5">
        <f t="shared" si="19"/>
        <v>20.639999999999997</v>
      </c>
      <c r="T401" s="4">
        <v>20.64</v>
      </c>
      <c r="U401" s="5">
        <f t="shared" si="20"/>
        <v>24.768000000000001</v>
      </c>
      <c r="V401" s="1" t="s">
        <v>31</v>
      </c>
    </row>
    <row r="402" spans="1:22" x14ac:dyDescent="0.2">
      <c r="A402" s="1">
        <v>4806571</v>
      </c>
      <c r="B402" s="1" t="s">
        <v>2090</v>
      </c>
      <c r="C402" s="1" t="str">
        <f>"9788024633060"</f>
        <v>9788024633060</v>
      </c>
      <c r="D402" s="1" t="str">
        <f>"9788024633244"</f>
        <v>9788024633244</v>
      </c>
      <c r="E402" s="2" t="s">
        <v>1963</v>
      </c>
      <c r="F402" s="2" t="s">
        <v>2087</v>
      </c>
      <c r="G402" s="1" t="s">
        <v>24</v>
      </c>
      <c r="H402" s="1">
        <v>1</v>
      </c>
      <c r="J402" s="1" t="s">
        <v>2091</v>
      </c>
      <c r="K402" s="1" t="s">
        <v>43</v>
      </c>
      <c r="L402" s="1" t="s">
        <v>2092</v>
      </c>
      <c r="M402" s="1" t="s">
        <v>2093</v>
      </c>
      <c r="N402" s="1" t="s">
        <v>2094</v>
      </c>
      <c r="O402" s="1" t="s">
        <v>39</v>
      </c>
      <c r="P402" s="4">
        <v>13.76</v>
      </c>
      <c r="Q402" s="5">
        <f t="shared" si="18"/>
        <v>16.512</v>
      </c>
      <c r="R402" s="4">
        <v>17.2</v>
      </c>
      <c r="S402" s="5">
        <f t="shared" si="19"/>
        <v>20.639999999999997</v>
      </c>
      <c r="T402" s="4">
        <v>20.64</v>
      </c>
      <c r="U402" s="5">
        <f t="shared" si="20"/>
        <v>24.768000000000001</v>
      </c>
      <c r="V402" s="1" t="s">
        <v>31</v>
      </c>
    </row>
    <row r="403" spans="1:22" x14ac:dyDescent="0.2">
      <c r="A403" s="1">
        <v>4806572</v>
      </c>
      <c r="B403" s="1" t="s">
        <v>2095</v>
      </c>
      <c r="C403" s="1" t="str">
        <f>"9788024633626"</f>
        <v>9788024633626</v>
      </c>
      <c r="D403" s="1" t="str">
        <f>"9788024634081"</f>
        <v>9788024634081</v>
      </c>
      <c r="E403" s="2" t="s">
        <v>1984</v>
      </c>
      <c r="F403" s="2" t="s">
        <v>2087</v>
      </c>
      <c r="G403" s="1" t="s">
        <v>24</v>
      </c>
      <c r="H403" s="1">
        <v>1</v>
      </c>
      <c r="J403" s="1" t="s">
        <v>2096</v>
      </c>
      <c r="K403" s="1" t="s">
        <v>150</v>
      </c>
      <c r="L403" s="1" t="s">
        <v>2097</v>
      </c>
      <c r="M403" s="1" t="s">
        <v>2098</v>
      </c>
      <c r="N403" s="1" t="s">
        <v>2099</v>
      </c>
      <c r="O403" s="1" t="s">
        <v>39</v>
      </c>
      <c r="P403" s="4">
        <v>13.76</v>
      </c>
      <c r="Q403" s="5">
        <f t="shared" si="18"/>
        <v>16.512</v>
      </c>
      <c r="R403" s="4">
        <v>17.2</v>
      </c>
      <c r="S403" s="5">
        <f t="shared" si="19"/>
        <v>20.639999999999997</v>
      </c>
      <c r="T403" s="4">
        <v>20.64</v>
      </c>
      <c r="U403" s="5">
        <f t="shared" si="20"/>
        <v>24.768000000000001</v>
      </c>
      <c r="V403" s="1" t="s">
        <v>31</v>
      </c>
    </row>
    <row r="404" spans="1:22" x14ac:dyDescent="0.2">
      <c r="A404" s="1">
        <v>4806573</v>
      </c>
      <c r="B404" s="1" t="s">
        <v>2100</v>
      </c>
      <c r="C404" s="1" t="str">
        <f>"9788024631387"</f>
        <v>9788024631387</v>
      </c>
      <c r="D404" s="1" t="str">
        <f>"9788024634838"</f>
        <v>9788024634838</v>
      </c>
      <c r="E404" s="2" t="s">
        <v>1938</v>
      </c>
      <c r="F404" s="2" t="s">
        <v>2087</v>
      </c>
      <c r="G404" s="1" t="s">
        <v>24</v>
      </c>
      <c r="H404" s="1">
        <v>1</v>
      </c>
      <c r="I404" s="1" t="s">
        <v>568</v>
      </c>
      <c r="J404" s="1" t="s">
        <v>2101</v>
      </c>
      <c r="K404" s="1" t="s">
        <v>64</v>
      </c>
      <c r="L404" s="1" t="s">
        <v>2102</v>
      </c>
      <c r="M404" s="1" t="s">
        <v>722</v>
      </c>
      <c r="N404" s="1" t="s">
        <v>2103</v>
      </c>
      <c r="O404" s="1" t="s">
        <v>39</v>
      </c>
      <c r="P404" s="4">
        <v>13.76</v>
      </c>
      <c r="Q404" s="5">
        <f t="shared" si="18"/>
        <v>16.512</v>
      </c>
      <c r="R404" s="4">
        <v>17.2</v>
      </c>
      <c r="S404" s="5">
        <f t="shared" si="19"/>
        <v>20.639999999999997</v>
      </c>
      <c r="T404" s="4">
        <v>20.64</v>
      </c>
      <c r="U404" s="5">
        <f t="shared" si="20"/>
        <v>24.768000000000001</v>
      </c>
      <c r="V404" s="1" t="s">
        <v>31</v>
      </c>
    </row>
    <row r="405" spans="1:22" x14ac:dyDescent="0.2">
      <c r="A405" s="1">
        <v>4806574</v>
      </c>
      <c r="B405" s="1" t="s">
        <v>2104</v>
      </c>
      <c r="C405" s="1" t="str">
        <f>"9788024634135"</f>
        <v>9788024634135</v>
      </c>
      <c r="D405" s="1" t="str">
        <f>"9788024635026"</f>
        <v>9788024635026</v>
      </c>
      <c r="E405" s="2" t="s">
        <v>1963</v>
      </c>
      <c r="F405" s="2" t="s">
        <v>2087</v>
      </c>
      <c r="G405" s="1" t="s">
        <v>24</v>
      </c>
      <c r="H405" s="1">
        <v>1</v>
      </c>
      <c r="J405" s="1" t="s">
        <v>2105</v>
      </c>
      <c r="K405" s="1" t="s">
        <v>36</v>
      </c>
      <c r="L405" s="1" t="s">
        <v>2106</v>
      </c>
      <c r="M405" s="1" t="s">
        <v>1612</v>
      </c>
      <c r="N405" s="1" t="s">
        <v>2107</v>
      </c>
      <c r="O405" s="1" t="s">
        <v>39</v>
      </c>
      <c r="P405" s="4">
        <v>13.76</v>
      </c>
      <c r="Q405" s="5">
        <f t="shared" si="18"/>
        <v>16.512</v>
      </c>
      <c r="R405" s="4">
        <v>17.2</v>
      </c>
      <c r="S405" s="5">
        <f t="shared" si="19"/>
        <v>20.639999999999997</v>
      </c>
      <c r="T405" s="4">
        <v>20.64</v>
      </c>
      <c r="U405" s="5">
        <f t="shared" si="20"/>
        <v>24.768000000000001</v>
      </c>
      <c r="V405" s="1" t="s">
        <v>31</v>
      </c>
    </row>
    <row r="406" spans="1:22" x14ac:dyDescent="0.2">
      <c r="A406" s="1">
        <v>4806575</v>
      </c>
      <c r="B406" s="1" t="s">
        <v>2108</v>
      </c>
      <c r="C406" s="1" t="str">
        <f>"9788024634760"</f>
        <v>9788024634760</v>
      </c>
      <c r="D406" s="1" t="str">
        <f>"9788024635217"</f>
        <v>9788024635217</v>
      </c>
      <c r="E406" s="2" t="s">
        <v>1963</v>
      </c>
      <c r="F406" s="2" t="s">
        <v>2087</v>
      </c>
      <c r="G406" s="1" t="s">
        <v>24</v>
      </c>
      <c r="H406" s="1">
        <v>1</v>
      </c>
      <c r="J406" s="1" t="s">
        <v>2109</v>
      </c>
      <c r="K406" s="1" t="s">
        <v>124</v>
      </c>
      <c r="L406" s="1" t="s">
        <v>2110</v>
      </c>
      <c r="M406" s="1" t="s">
        <v>2111</v>
      </c>
      <c r="N406" s="1" t="s">
        <v>2112</v>
      </c>
      <c r="O406" s="1" t="s">
        <v>39</v>
      </c>
      <c r="P406" s="4">
        <v>13.76</v>
      </c>
      <c r="Q406" s="5">
        <f t="shared" si="18"/>
        <v>16.512</v>
      </c>
      <c r="R406" s="4">
        <v>17.2</v>
      </c>
      <c r="S406" s="5">
        <f t="shared" si="19"/>
        <v>20.639999999999997</v>
      </c>
      <c r="T406" s="4">
        <v>20.64</v>
      </c>
      <c r="U406" s="5">
        <f t="shared" si="20"/>
        <v>24.768000000000001</v>
      </c>
      <c r="V406" s="1" t="s">
        <v>31</v>
      </c>
    </row>
    <row r="407" spans="1:22" x14ac:dyDescent="0.2">
      <c r="A407" s="1">
        <v>4806576</v>
      </c>
      <c r="B407" s="1" t="s">
        <v>2113</v>
      </c>
      <c r="C407" s="1" t="str">
        <f>"9788024635408"</f>
        <v>9788024635408</v>
      </c>
      <c r="D407" s="1" t="str">
        <f>"9788024635415"</f>
        <v>9788024635415</v>
      </c>
      <c r="E407" s="2" t="s">
        <v>1963</v>
      </c>
      <c r="F407" s="2" t="s">
        <v>2087</v>
      </c>
      <c r="G407" s="1" t="s">
        <v>24</v>
      </c>
      <c r="H407" s="1">
        <v>1</v>
      </c>
      <c r="J407" s="1" t="s">
        <v>2114</v>
      </c>
      <c r="K407" s="1" t="s">
        <v>43</v>
      </c>
      <c r="L407" s="1" t="s">
        <v>2115</v>
      </c>
      <c r="M407" s="1" t="s">
        <v>2116</v>
      </c>
      <c r="N407" s="1" t="s">
        <v>2117</v>
      </c>
      <c r="O407" s="1" t="s">
        <v>39</v>
      </c>
      <c r="P407" s="4">
        <v>18.350000000000001</v>
      </c>
      <c r="Q407" s="5">
        <f t="shared" si="18"/>
        <v>22.02</v>
      </c>
      <c r="R407" s="4">
        <v>22.94</v>
      </c>
      <c r="S407" s="5">
        <f t="shared" si="19"/>
        <v>27.528000000000002</v>
      </c>
      <c r="T407" s="4">
        <v>27.52</v>
      </c>
      <c r="U407" s="5">
        <f t="shared" si="20"/>
        <v>33.024000000000001</v>
      </c>
      <c r="V407" s="1" t="s">
        <v>31</v>
      </c>
    </row>
    <row r="408" spans="1:22" x14ac:dyDescent="0.2">
      <c r="A408" s="1">
        <v>4850503</v>
      </c>
      <c r="B408" s="1" t="s">
        <v>2118</v>
      </c>
      <c r="C408" s="1" t="str">
        <f>"9788024632308"</f>
        <v>9788024632308</v>
      </c>
      <c r="D408" s="1" t="str">
        <f>"9788024632513"</f>
        <v>9788024632513</v>
      </c>
      <c r="E408" s="2" t="s">
        <v>1068</v>
      </c>
      <c r="F408" s="2" t="s">
        <v>2119</v>
      </c>
      <c r="G408" s="1" t="s">
        <v>24</v>
      </c>
      <c r="H408" s="1">
        <v>1</v>
      </c>
      <c r="J408" s="1" t="s">
        <v>556</v>
      </c>
      <c r="K408" s="1" t="s">
        <v>449</v>
      </c>
      <c r="L408" s="1" t="s">
        <v>2120</v>
      </c>
      <c r="M408" s="1" t="s">
        <v>401</v>
      </c>
      <c r="N408" s="1" t="s">
        <v>2121</v>
      </c>
      <c r="O408" s="1" t="s">
        <v>39</v>
      </c>
      <c r="P408" s="4">
        <v>13.76</v>
      </c>
      <c r="Q408" s="5">
        <f t="shared" si="18"/>
        <v>16.512</v>
      </c>
      <c r="R408" s="4">
        <v>17.2</v>
      </c>
      <c r="S408" s="5">
        <f t="shared" si="19"/>
        <v>20.639999999999997</v>
      </c>
      <c r="T408" s="4">
        <v>20.64</v>
      </c>
      <c r="U408" s="5">
        <f t="shared" si="20"/>
        <v>24.768000000000001</v>
      </c>
      <c r="V408" s="1" t="s">
        <v>31</v>
      </c>
    </row>
    <row r="409" spans="1:22" x14ac:dyDescent="0.2">
      <c r="A409" s="1">
        <v>4850504</v>
      </c>
      <c r="B409" s="1" t="s">
        <v>2122</v>
      </c>
      <c r="C409" s="1" t="str">
        <f>"9788024632681"</f>
        <v>9788024632681</v>
      </c>
      <c r="D409" s="1" t="str">
        <f>"9788024632957"</f>
        <v>9788024632957</v>
      </c>
      <c r="E409" s="2" t="s">
        <v>1963</v>
      </c>
      <c r="F409" s="2" t="s">
        <v>2119</v>
      </c>
      <c r="G409" s="1" t="s">
        <v>24</v>
      </c>
      <c r="H409" s="1">
        <v>1</v>
      </c>
      <c r="J409" s="1" t="s">
        <v>940</v>
      </c>
      <c r="K409" s="1" t="s">
        <v>26</v>
      </c>
      <c r="L409" s="1" t="s">
        <v>2123</v>
      </c>
      <c r="M409" s="1">
        <v>150</v>
      </c>
      <c r="N409" s="1" t="s">
        <v>2124</v>
      </c>
      <c r="O409" s="1" t="s">
        <v>39</v>
      </c>
      <c r="P409" s="4">
        <v>18.350000000000001</v>
      </c>
      <c r="Q409" s="5">
        <f t="shared" si="18"/>
        <v>22.02</v>
      </c>
      <c r="R409" s="4">
        <v>22.94</v>
      </c>
      <c r="S409" s="5">
        <f t="shared" si="19"/>
        <v>27.528000000000002</v>
      </c>
      <c r="T409" s="4">
        <v>27.52</v>
      </c>
      <c r="U409" s="5">
        <f t="shared" si="20"/>
        <v>33.024000000000001</v>
      </c>
      <c r="V409" s="1" t="s">
        <v>31</v>
      </c>
    </row>
    <row r="410" spans="1:22" x14ac:dyDescent="0.2">
      <c r="A410" s="1">
        <v>4850505</v>
      </c>
      <c r="B410" s="1" t="s">
        <v>2125</v>
      </c>
      <c r="C410" s="1" t="str">
        <f>"9788024633787"</f>
        <v>9788024633787</v>
      </c>
      <c r="D410" s="1" t="str">
        <f>"9788024633923"</f>
        <v>9788024633923</v>
      </c>
      <c r="E410" s="2" t="s">
        <v>2126</v>
      </c>
      <c r="F410" s="2" t="s">
        <v>2119</v>
      </c>
      <c r="G410" s="1" t="s">
        <v>24</v>
      </c>
      <c r="H410" s="1">
        <v>1</v>
      </c>
      <c r="J410" s="1" t="s">
        <v>2127</v>
      </c>
      <c r="K410" s="1" t="s">
        <v>666</v>
      </c>
      <c r="L410" s="1" t="s">
        <v>2128</v>
      </c>
      <c r="M410" s="1" t="s">
        <v>2129</v>
      </c>
      <c r="N410" s="1" t="s">
        <v>669</v>
      </c>
      <c r="O410" s="1" t="s">
        <v>30</v>
      </c>
      <c r="P410" s="4">
        <v>22.94</v>
      </c>
      <c r="Q410" s="5">
        <f t="shared" si="18"/>
        <v>27.528000000000002</v>
      </c>
      <c r="R410" s="4">
        <v>28.67</v>
      </c>
      <c r="S410" s="5">
        <f t="shared" si="19"/>
        <v>34.404000000000003</v>
      </c>
      <c r="T410" s="4">
        <v>34.4</v>
      </c>
      <c r="U410" s="5">
        <f t="shared" si="20"/>
        <v>41.279999999999994</v>
      </c>
      <c r="V410" s="1" t="s">
        <v>31</v>
      </c>
    </row>
    <row r="411" spans="1:22" x14ac:dyDescent="0.2">
      <c r="A411" s="1">
        <v>4850506</v>
      </c>
      <c r="B411" s="1" t="s">
        <v>2130</v>
      </c>
      <c r="C411" s="1" t="str">
        <f>"9788024634616"</f>
        <v>9788024634616</v>
      </c>
      <c r="D411" s="1" t="str">
        <f>"9788024634951"</f>
        <v>9788024634951</v>
      </c>
      <c r="E411" s="2" t="s">
        <v>2131</v>
      </c>
      <c r="F411" s="2" t="s">
        <v>2119</v>
      </c>
      <c r="G411" s="1" t="s">
        <v>24</v>
      </c>
      <c r="H411" s="1">
        <v>1</v>
      </c>
      <c r="J411" s="1" t="s">
        <v>2132</v>
      </c>
      <c r="K411" s="1" t="s">
        <v>1616</v>
      </c>
      <c r="L411" s="1" t="s">
        <v>2133</v>
      </c>
      <c r="M411" s="1" t="s">
        <v>2134</v>
      </c>
      <c r="N411" s="1" t="s">
        <v>2135</v>
      </c>
      <c r="O411" s="1" t="s">
        <v>39</v>
      </c>
      <c r="P411" s="4">
        <v>13.76</v>
      </c>
      <c r="Q411" s="5">
        <f t="shared" si="18"/>
        <v>16.512</v>
      </c>
      <c r="R411" s="4">
        <v>17.2</v>
      </c>
      <c r="S411" s="5">
        <f t="shared" si="19"/>
        <v>20.639999999999997</v>
      </c>
      <c r="T411" s="4">
        <v>20.64</v>
      </c>
      <c r="U411" s="5">
        <f t="shared" si="20"/>
        <v>24.768000000000001</v>
      </c>
      <c r="V411" s="1" t="s">
        <v>31</v>
      </c>
    </row>
    <row r="412" spans="1:22" x14ac:dyDescent="0.2">
      <c r="A412" s="1">
        <v>4850507</v>
      </c>
      <c r="B412" s="1" t="s">
        <v>2136</v>
      </c>
      <c r="C412" s="1" t="str">
        <f>"9788024634418"</f>
        <v>9788024634418</v>
      </c>
      <c r="D412" s="1" t="str">
        <f>"9788024635309"</f>
        <v>9788024635309</v>
      </c>
      <c r="E412" s="2" t="s">
        <v>2131</v>
      </c>
      <c r="F412" s="2" t="s">
        <v>2119</v>
      </c>
      <c r="G412" s="1" t="s">
        <v>24</v>
      </c>
      <c r="H412" s="1">
        <v>1</v>
      </c>
      <c r="I412" s="1" t="s">
        <v>2137</v>
      </c>
      <c r="J412" s="1" t="s">
        <v>2138</v>
      </c>
      <c r="K412" s="1" t="s">
        <v>150</v>
      </c>
      <c r="L412" s="1" t="s">
        <v>2139</v>
      </c>
      <c r="M412" s="1">
        <v>230</v>
      </c>
      <c r="N412" s="1" t="s">
        <v>2140</v>
      </c>
      <c r="O412" s="1" t="s">
        <v>39</v>
      </c>
      <c r="P412" s="4">
        <v>17.43</v>
      </c>
      <c r="Q412" s="5">
        <f t="shared" si="18"/>
        <v>20.916</v>
      </c>
      <c r="R412" s="4">
        <v>21.79</v>
      </c>
      <c r="S412" s="5">
        <f t="shared" si="19"/>
        <v>26.148</v>
      </c>
      <c r="T412" s="4">
        <v>26.15</v>
      </c>
      <c r="U412" s="5">
        <f t="shared" si="20"/>
        <v>31.379999999999995</v>
      </c>
      <c r="V412" s="1" t="s">
        <v>31</v>
      </c>
    </row>
    <row r="413" spans="1:22" x14ac:dyDescent="0.2">
      <c r="A413" s="1">
        <v>4850508</v>
      </c>
      <c r="B413" s="1" t="s">
        <v>2141</v>
      </c>
      <c r="C413" s="1" t="str">
        <f>"9788024635170"</f>
        <v>9788024635170</v>
      </c>
      <c r="D413" s="1" t="str">
        <f>"9788024635354"</f>
        <v>9788024635354</v>
      </c>
      <c r="E413" s="2" t="s">
        <v>2131</v>
      </c>
      <c r="F413" s="2" t="s">
        <v>2119</v>
      </c>
      <c r="G413" s="1" t="s">
        <v>24</v>
      </c>
      <c r="H413" s="1">
        <v>1</v>
      </c>
      <c r="J413" s="1" t="s">
        <v>2142</v>
      </c>
      <c r="K413" s="1" t="s">
        <v>124</v>
      </c>
      <c r="L413" s="1" t="s">
        <v>2143</v>
      </c>
      <c r="M413" s="1" t="s">
        <v>2144</v>
      </c>
      <c r="N413" s="1" t="s">
        <v>2145</v>
      </c>
      <c r="O413" s="1" t="s">
        <v>39</v>
      </c>
      <c r="P413" s="4">
        <v>13.76</v>
      </c>
      <c r="Q413" s="5">
        <f t="shared" si="18"/>
        <v>16.512</v>
      </c>
      <c r="R413" s="4">
        <v>17.2</v>
      </c>
      <c r="S413" s="5">
        <f t="shared" si="19"/>
        <v>20.639999999999997</v>
      </c>
      <c r="T413" s="4">
        <v>20.64</v>
      </c>
      <c r="U413" s="5">
        <f t="shared" si="20"/>
        <v>24.768000000000001</v>
      </c>
      <c r="V413" s="1" t="s">
        <v>31</v>
      </c>
    </row>
    <row r="414" spans="1:22" x14ac:dyDescent="0.2">
      <c r="A414" s="1">
        <v>4850509</v>
      </c>
      <c r="B414" s="1" t="s">
        <v>2146</v>
      </c>
      <c r="C414" s="1" t="str">
        <f>"9788024635132"</f>
        <v>9788024635132</v>
      </c>
      <c r="D414" s="1" t="str">
        <f>"9788024635392"</f>
        <v>9788024635392</v>
      </c>
      <c r="E414" s="2" t="s">
        <v>2126</v>
      </c>
      <c r="F414" s="2" t="s">
        <v>2119</v>
      </c>
      <c r="G414" s="1" t="s">
        <v>24</v>
      </c>
      <c r="H414" s="1">
        <v>1</v>
      </c>
      <c r="J414" s="1" t="s">
        <v>2147</v>
      </c>
      <c r="K414" s="1" t="s">
        <v>72</v>
      </c>
      <c r="L414" s="1" t="s">
        <v>2148</v>
      </c>
      <c r="M414" s="1" t="s">
        <v>2149</v>
      </c>
      <c r="N414" s="1" t="s">
        <v>2150</v>
      </c>
      <c r="O414" s="1" t="s">
        <v>30</v>
      </c>
      <c r="P414" s="4">
        <v>21.1</v>
      </c>
      <c r="Q414" s="5">
        <f t="shared" si="18"/>
        <v>25.32</v>
      </c>
      <c r="R414" s="4">
        <v>26.38</v>
      </c>
      <c r="S414" s="5">
        <f t="shared" si="19"/>
        <v>31.655999999999999</v>
      </c>
      <c r="T414" s="4">
        <v>31.65</v>
      </c>
      <c r="U414" s="5">
        <f t="shared" si="20"/>
        <v>37.979999999999997</v>
      </c>
      <c r="V414" s="1" t="s">
        <v>31</v>
      </c>
    </row>
    <row r="415" spans="1:22" x14ac:dyDescent="0.2">
      <c r="A415" s="1">
        <v>4850510</v>
      </c>
      <c r="B415" s="1" t="s">
        <v>2151</v>
      </c>
      <c r="C415" s="1" t="str">
        <f>"9788024608921"</f>
        <v>9788024608921</v>
      </c>
      <c r="D415" s="1" t="str">
        <f>"9788024635507"</f>
        <v>9788024635507</v>
      </c>
      <c r="E415" s="2" t="s">
        <v>2152</v>
      </c>
      <c r="F415" s="2" t="s">
        <v>2119</v>
      </c>
      <c r="G415" s="1" t="s">
        <v>24</v>
      </c>
      <c r="H415" s="1">
        <v>1</v>
      </c>
      <c r="J415" s="1" t="s">
        <v>2153</v>
      </c>
      <c r="K415" s="1" t="s">
        <v>1516</v>
      </c>
      <c r="L415" s="1" t="s">
        <v>2154</v>
      </c>
      <c r="M415" s="1" t="s">
        <v>2155</v>
      </c>
      <c r="N415" s="1" t="s">
        <v>2156</v>
      </c>
      <c r="O415" s="1" t="s">
        <v>39</v>
      </c>
      <c r="P415" s="4">
        <v>13.76</v>
      </c>
      <c r="Q415" s="5">
        <f t="shared" si="18"/>
        <v>16.512</v>
      </c>
      <c r="R415" s="4">
        <v>17.2</v>
      </c>
      <c r="S415" s="5">
        <f t="shared" si="19"/>
        <v>20.639999999999997</v>
      </c>
      <c r="T415" s="4">
        <v>20.64</v>
      </c>
      <c r="U415" s="5">
        <f t="shared" si="20"/>
        <v>24.768000000000001</v>
      </c>
      <c r="V415" s="1" t="s">
        <v>31</v>
      </c>
    </row>
    <row r="416" spans="1:22" x14ac:dyDescent="0.2">
      <c r="A416" s="1">
        <v>4867402</v>
      </c>
      <c r="B416" s="1" t="s">
        <v>2157</v>
      </c>
      <c r="C416" s="1" t="str">
        <f>"9788024630649"</f>
        <v>9788024630649</v>
      </c>
      <c r="D416" s="1" t="str">
        <f>"9788024630793"</f>
        <v>9788024630793</v>
      </c>
      <c r="E416" s="2" t="s">
        <v>2131</v>
      </c>
      <c r="F416" s="2" t="s">
        <v>2158</v>
      </c>
      <c r="G416" s="1" t="s">
        <v>24</v>
      </c>
      <c r="H416" s="1">
        <v>1</v>
      </c>
      <c r="J416" s="1" t="s">
        <v>1053</v>
      </c>
      <c r="K416" s="1" t="s">
        <v>334</v>
      </c>
      <c r="L416" s="1" t="s">
        <v>2159</v>
      </c>
      <c r="M416" s="1" t="s">
        <v>2160</v>
      </c>
      <c r="N416" s="1" t="s">
        <v>2161</v>
      </c>
      <c r="O416" s="1" t="s">
        <v>39</v>
      </c>
      <c r="P416" s="4">
        <v>13.76</v>
      </c>
      <c r="Q416" s="5">
        <f t="shared" si="18"/>
        <v>16.512</v>
      </c>
      <c r="R416" s="4">
        <v>17.2</v>
      </c>
      <c r="S416" s="5">
        <f t="shared" si="19"/>
        <v>20.639999999999997</v>
      </c>
      <c r="T416" s="4">
        <v>20.64</v>
      </c>
      <c r="U416" s="5">
        <f t="shared" si="20"/>
        <v>24.768000000000001</v>
      </c>
      <c r="V416" s="1" t="s">
        <v>31</v>
      </c>
    </row>
    <row r="417" spans="1:22" x14ac:dyDescent="0.2">
      <c r="A417" s="1">
        <v>4867403</v>
      </c>
      <c r="B417" s="1" t="s">
        <v>2162</v>
      </c>
      <c r="C417" s="1" t="str">
        <f>"9788024631301"</f>
        <v>9788024631301</v>
      </c>
      <c r="D417" s="1" t="str">
        <f>"9788024631349"</f>
        <v>9788024631349</v>
      </c>
      <c r="E417" s="2" t="s">
        <v>2163</v>
      </c>
      <c r="F417" s="2" t="s">
        <v>2158</v>
      </c>
      <c r="G417" s="1" t="s">
        <v>24</v>
      </c>
      <c r="H417" s="1">
        <v>1</v>
      </c>
      <c r="J417" s="1" t="s">
        <v>130</v>
      </c>
      <c r="K417" s="1" t="s">
        <v>2164</v>
      </c>
      <c r="L417" s="1" t="s">
        <v>2165</v>
      </c>
      <c r="M417" s="1" t="s">
        <v>2166</v>
      </c>
      <c r="N417" s="1" t="s">
        <v>2167</v>
      </c>
      <c r="O417" s="1" t="s">
        <v>30</v>
      </c>
      <c r="P417" s="4">
        <v>19.27</v>
      </c>
      <c r="Q417" s="5">
        <f t="shared" si="18"/>
        <v>23.123999999999999</v>
      </c>
      <c r="R417" s="4">
        <v>24.08</v>
      </c>
      <c r="S417" s="5">
        <f t="shared" si="19"/>
        <v>28.895999999999997</v>
      </c>
      <c r="T417" s="4">
        <v>28.9</v>
      </c>
      <c r="U417" s="5">
        <f t="shared" si="20"/>
        <v>34.68</v>
      </c>
      <c r="V417" s="1" t="s">
        <v>31</v>
      </c>
    </row>
    <row r="418" spans="1:22" x14ac:dyDescent="0.2">
      <c r="A418" s="1">
        <v>4867404</v>
      </c>
      <c r="B418" s="1" t="s">
        <v>2168</v>
      </c>
      <c r="C418" s="1" t="str">
        <f>"9788024632711"</f>
        <v>9788024632711</v>
      </c>
      <c r="D418" s="1" t="str">
        <f>"9788024632995"</f>
        <v>9788024632995</v>
      </c>
      <c r="E418" s="2" t="s">
        <v>69</v>
      </c>
      <c r="F418" s="2" t="s">
        <v>2158</v>
      </c>
      <c r="G418" s="1" t="s">
        <v>24</v>
      </c>
      <c r="H418" s="1">
        <v>1</v>
      </c>
      <c r="J418" s="1" t="s">
        <v>2169</v>
      </c>
      <c r="K418" s="1" t="s">
        <v>111</v>
      </c>
      <c r="L418" s="1" t="s">
        <v>2170</v>
      </c>
      <c r="M418" s="1" t="s">
        <v>902</v>
      </c>
      <c r="N418" s="1" t="s">
        <v>2171</v>
      </c>
      <c r="O418" s="1" t="s">
        <v>39</v>
      </c>
      <c r="P418" s="4">
        <v>20.18</v>
      </c>
      <c r="Q418" s="5">
        <f t="shared" si="18"/>
        <v>24.215999999999998</v>
      </c>
      <c r="R418" s="4">
        <v>25.23</v>
      </c>
      <c r="S418" s="5">
        <f t="shared" si="19"/>
        <v>30.276</v>
      </c>
      <c r="T418" s="4">
        <v>30.28</v>
      </c>
      <c r="U418" s="5">
        <f t="shared" si="20"/>
        <v>36.335999999999999</v>
      </c>
      <c r="V418" s="1" t="s">
        <v>31</v>
      </c>
    </row>
    <row r="419" spans="1:22" x14ac:dyDescent="0.2">
      <c r="A419" s="1">
        <v>4867405</v>
      </c>
      <c r="B419" s="1" t="s">
        <v>2172</v>
      </c>
      <c r="C419" s="1" t="str">
        <f>"9788024632698"</f>
        <v>9788024632698</v>
      </c>
      <c r="D419" s="1" t="str">
        <f>"9788024633022"</f>
        <v>9788024633022</v>
      </c>
      <c r="E419" s="2" t="s">
        <v>1781</v>
      </c>
      <c r="F419" s="2" t="s">
        <v>2158</v>
      </c>
      <c r="G419" s="1" t="s">
        <v>24</v>
      </c>
      <c r="H419" s="1">
        <v>1</v>
      </c>
      <c r="J419" s="1" t="s">
        <v>2173</v>
      </c>
      <c r="K419" s="1" t="s">
        <v>277</v>
      </c>
      <c r="L419" s="1" t="s">
        <v>2174</v>
      </c>
      <c r="M419" s="1" t="s">
        <v>2175</v>
      </c>
      <c r="N419" s="1" t="s">
        <v>2176</v>
      </c>
      <c r="O419" s="1" t="s">
        <v>39</v>
      </c>
      <c r="P419" s="4">
        <v>13.76</v>
      </c>
      <c r="Q419" s="5">
        <f t="shared" si="18"/>
        <v>16.512</v>
      </c>
      <c r="R419" s="4">
        <v>17.2</v>
      </c>
      <c r="S419" s="5">
        <f t="shared" si="19"/>
        <v>20.639999999999997</v>
      </c>
      <c r="T419" s="4">
        <v>20.64</v>
      </c>
      <c r="U419" s="5">
        <f t="shared" si="20"/>
        <v>24.768000000000001</v>
      </c>
      <c r="V419" s="1" t="s">
        <v>31</v>
      </c>
    </row>
    <row r="420" spans="1:22" x14ac:dyDescent="0.2">
      <c r="A420" s="1">
        <v>4867406</v>
      </c>
      <c r="B420" s="1" t="s">
        <v>2177</v>
      </c>
      <c r="C420" s="1" t="str">
        <f>"9788024633633"</f>
        <v>9788024633633</v>
      </c>
      <c r="D420" s="1" t="str">
        <f>"9788024633954"</f>
        <v>9788024633954</v>
      </c>
      <c r="E420" s="2" t="s">
        <v>2178</v>
      </c>
      <c r="F420" s="2" t="s">
        <v>2158</v>
      </c>
      <c r="G420" s="1" t="s">
        <v>24</v>
      </c>
      <c r="H420" s="1">
        <v>1</v>
      </c>
      <c r="J420" s="1" t="s">
        <v>2179</v>
      </c>
      <c r="K420" s="1" t="s">
        <v>79</v>
      </c>
      <c r="L420" s="1" t="s">
        <v>2180</v>
      </c>
      <c r="M420" s="1">
        <v>469</v>
      </c>
      <c r="N420" s="1" t="s">
        <v>2181</v>
      </c>
      <c r="O420" s="1" t="s">
        <v>39</v>
      </c>
      <c r="P420" s="4">
        <v>13.76</v>
      </c>
      <c r="Q420" s="5">
        <f t="shared" si="18"/>
        <v>16.512</v>
      </c>
      <c r="R420" s="4">
        <v>17.2</v>
      </c>
      <c r="S420" s="5">
        <f t="shared" si="19"/>
        <v>20.639999999999997</v>
      </c>
      <c r="T420" s="4">
        <v>20.64</v>
      </c>
      <c r="U420" s="5">
        <f t="shared" si="20"/>
        <v>24.768000000000001</v>
      </c>
      <c r="V420" s="1" t="s">
        <v>31</v>
      </c>
    </row>
    <row r="421" spans="1:22" x14ac:dyDescent="0.2">
      <c r="A421" s="1">
        <v>4867407</v>
      </c>
      <c r="B421" s="1" t="s">
        <v>2182</v>
      </c>
      <c r="C421" s="1" t="str">
        <f>"9788024634685"</f>
        <v>9788024634685</v>
      </c>
      <c r="D421" s="1" t="str">
        <f>"9788024634944"</f>
        <v>9788024634944</v>
      </c>
      <c r="E421" s="2" t="s">
        <v>2163</v>
      </c>
      <c r="F421" s="2" t="s">
        <v>2158</v>
      </c>
      <c r="G421" s="1" t="s">
        <v>24</v>
      </c>
      <c r="H421" s="1">
        <v>1</v>
      </c>
      <c r="J421" s="1" t="s">
        <v>2183</v>
      </c>
      <c r="K421" s="1" t="s">
        <v>150</v>
      </c>
      <c r="L421" s="1" t="s">
        <v>2184</v>
      </c>
      <c r="M421" s="1" t="s">
        <v>2185</v>
      </c>
      <c r="N421" s="1" t="s">
        <v>2186</v>
      </c>
      <c r="O421" s="1" t="s">
        <v>39</v>
      </c>
      <c r="P421" s="4">
        <v>22.94</v>
      </c>
      <c r="Q421" s="5">
        <f t="shared" si="18"/>
        <v>27.528000000000002</v>
      </c>
      <c r="R421" s="4">
        <v>28.67</v>
      </c>
      <c r="S421" s="5">
        <f t="shared" si="19"/>
        <v>34.404000000000003</v>
      </c>
      <c r="T421" s="4">
        <v>34.4</v>
      </c>
      <c r="U421" s="5">
        <f t="shared" si="20"/>
        <v>41.279999999999994</v>
      </c>
      <c r="V421" s="1" t="s">
        <v>31</v>
      </c>
    </row>
    <row r="422" spans="1:22" x14ac:dyDescent="0.2">
      <c r="A422" s="1">
        <v>4867408</v>
      </c>
      <c r="B422" s="1" t="s">
        <v>2187</v>
      </c>
      <c r="C422" s="1" t="str">
        <f>"9788024634647"</f>
        <v>9788024634647</v>
      </c>
      <c r="D422" s="1" t="str">
        <f>"9788024635019"</f>
        <v>9788024635019</v>
      </c>
      <c r="E422" s="2" t="s">
        <v>1963</v>
      </c>
      <c r="F422" s="2" t="s">
        <v>2158</v>
      </c>
      <c r="G422" s="1" t="s">
        <v>24</v>
      </c>
      <c r="H422" s="1">
        <v>1</v>
      </c>
      <c r="I422" s="1" t="s">
        <v>2188</v>
      </c>
      <c r="J422" s="1" t="s">
        <v>2189</v>
      </c>
      <c r="K422" s="1" t="s">
        <v>1363</v>
      </c>
      <c r="L422" s="1" t="s">
        <v>2190</v>
      </c>
      <c r="M422" s="1" t="s">
        <v>2191</v>
      </c>
      <c r="N422" s="1" t="s">
        <v>2192</v>
      </c>
      <c r="O422" s="1" t="s">
        <v>39</v>
      </c>
      <c r="P422" s="4">
        <v>18.350000000000001</v>
      </c>
      <c r="Q422" s="5">
        <f t="shared" si="18"/>
        <v>22.02</v>
      </c>
      <c r="R422" s="4">
        <v>22.94</v>
      </c>
      <c r="S422" s="5">
        <f t="shared" si="19"/>
        <v>27.528000000000002</v>
      </c>
      <c r="T422" s="4">
        <v>27.52</v>
      </c>
      <c r="U422" s="5">
        <f t="shared" si="20"/>
        <v>33.024000000000001</v>
      </c>
      <c r="V422" s="1" t="s">
        <v>31</v>
      </c>
    </row>
    <row r="423" spans="1:22" x14ac:dyDescent="0.2">
      <c r="A423" s="1">
        <v>4867409</v>
      </c>
      <c r="B423" s="1" t="s">
        <v>2193</v>
      </c>
      <c r="C423" s="1" t="str">
        <f>"9788024634623"</f>
        <v>9788024634623</v>
      </c>
      <c r="D423" s="1" t="str">
        <f>"9788024635248"</f>
        <v>9788024635248</v>
      </c>
      <c r="E423" s="2" t="s">
        <v>1835</v>
      </c>
      <c r="F423" s="2" t="s">
        <v>2158</v>
      </c>
      <c r="G423" s="1" t="s">
        <v>24</v>
      </c>
      <c r="H423" s="1">
        <v>1</v>
      </c>
      <c r="J423" s="1" t="s">
        <v>2194</v>
      </c>
      <c r="K423" s="1" t="s">
        <v>26</v>
      </c>
      <c r="L423" s="1" t="s">
        <v>2195</v>
      </c>
      <c r="M423" s="1">
        <v>155</v>
      </c>
      <c r="N423" s="1" t="s">
        <v>2196</v>
      </c>
      <c r="O423" s="1" t="s">
        <v>39</v>
      </c>
      <c r="P423" s="4">
        <v>15.6</v>
      </c>
      <c r="Q423" s="5">
        <f t="shared" si="18"/>
        <v>18.72</v>
      </c>
      <c r="R423" s="4">
        <v>19.5</v>
      </c>
      <c r="S423" s="5">
        <f t="shared" si="19"/>
        <v>23.4</v>
      </c>
      <c r="T423" s="4">
        <v>23.39</v>
      </c>
      <c r="U423" s="5">
        <f t="shared" si="20"/>
        <v>28.068000000000001</v>
      </c>
      <c r="V423" s="1" t="s">
        <v>31</v>
      </c>
    </row>
    <row r="424" spans="1:22" x14ac:dyDescent="0.2">
      <c r="A424" s="1">
        <v>4867501</v>
      </c>
      <c r="B424" s="1" t="s">
        <v>2197</v>
      </c>
      <c r="C424" s="1" t="str">
        <f>"9788024623337"</f>
        <v>9788024623337</v>
      </c>
      <c r="D424" s="1" t="str">
        <f>"9788024623665"</f>
        <v>9788024623665</v>
      </c>
      <c r="E424" s="2" t="s">
        <v>122</v>
      </c>
      <c r="F424" s="2" t="s">
        <v>2158</v>
      </c>
      <c r="G424" s="1" t="s">
        <v>24</v>
      </c>
      <c r="H424" s="1">
        <v>1</v>
      </c>
      <c r="J424" s="1" t="s">
        <v>2198</v>
      </c>
      <c r="K424" s="1" t="s">
        <v>150</v>
      </c>
      <c r="L424" s="1" t="s">
        <v>2199</v>
      </c>
      <c r="M424" s="1" t="s">
        <v>2200</v>
      </c>
      <c r="N424" s="1" t="s">
        <v>2201</v>
      </c>
      <c r="O424" s="1" t="s">
        <v>39</v>
      </c>
      <c r="P424" s="4">
        <v>17.43</v>
      </c>
      <c r="Q424" s="5">
        <f t="shared" si="18"/>
        <v>20.916</v>
      </c>
      <c r="R424" s="4">
        <v>21.79</v>
      </c>
      <c r="S424" s="5">
        <f t="shared" si="19"/>
        <v>26.148</v>
      </c>
      <c r="T424" s="4">
        <v>26.15</v>
      </c>
      <c r="U424" s="5">
        <f t="shared" si="20"/>
        <v>31.379999999999995</v>
      </c>
      <c r="V424" s="1" t="s">
        <v>31</v>
      </c>
    </row>
    <row r="425" spans="1:22" x14ac:dyDescent="0.2">
      <c r="A425" s="1">
        <v>4867502</v>
      </c>
      <c r="B425" s="1" t="s">
        <v>2202</v>
      </c>
      <c r="C425" s="1" t="str">
        <f>"9788024631813"</f>
        <v>9788024631813</v>
      </c>
      <c r="D425" s="1" t="str">
        <f>"9788024631936"</f>
        <v>9788024631936</v>
      </c>
      <c r="E425" s="2" t="s">
        <v>2203</v>
      </c>
      <c r="F425" s="2" t="s">
        <v>2158</v>
      </c>
      <c r="G425" s="1" t="s">
        <v>24</v>
      </c>
      <c r="H425" s="1">
        <v>1</v>
      </c>
      <c r="J425" s="1" t="s">
        <v>2204</v>
      </c>
      <c r="K425" s="1" t="s">
        <v>341</v>
      </c>
      <c r="L425" s="1" t="s">
        <v>2205</v>
      </c>
      <c r="M425" s="1">
        <v>160</v>
      </c>
      <c r="N425" s="1" t="s">
        <v>2206</v>
      </c>
      <c r="O425" s="1" t="s">
        <v>30</v>
      </c>
      <c r="P425" s="4">
        <v>13.76</v>
      </c>
      <c r="Q425" s="5">
        <f t="shared" si="18"/>
        <v>16.512</v>
      </c>
      <c r="R425" s="4">
        <v>17.2</v>
      </c>
      <c r="S425" s="5">
        <f t="shared" si="19"/>
        <v>20.639999999999997</v>
      </c>
      <c r="T425" s="4">
        <v>20.64</v>
      </c>
      <c r="U425" s="5">
        <f t="shared" si="20"/>
        <v>24.768000000000001</v>
      </c>
      <c r="V425" s="1" t="s">
        <v>31</v>
      </c>
    </row>
    <row r="426" spans="1:22" x14ac:dyDescent="0.2">
      <c r="A426" s="1">
        <v>4867504</v>
      </c>
      <c r="B426" s="1" t="s">
        <v>2207</v>
      </c>
      <c r="C426" s="1" t="str">
        <f>"9788024634364"</f>
        <v>9788024634364</v>
      </c>
      <c r="D426" s="1" t="str">
        <f>"9788024634531"</f>
        <v>9788024634531</v>
      </c>
      <c r="E426" s="2" t="s">
        <v>2126</v>
      </c>
      <c r="F426" s="2" t="s">
        <v>2158</v>
      </c>
      <c r="G426" s="1" t="s">
        <v>24</v>
      </c>
      <c r="H426" s="1">
        <v>1</v>
      </c>
      <c r="J426" s="1" t="s">
        <v>1582</v>
      </c>
      <c r="K426" s="1" t="s">
        <v>79</v>
      </c>
      <c r="L426" s="1" t="s">
        <v>2208</v>
      </c>
      <c r="M426" s="1" t="s">
        <v>2209</v>
      </c>
      <c r="N426" s="1" t="s">
        <v>2210</v>
      </c>
      <c r="O426" s="1" t="s">
        <v>39</v>
      </c>
      <c r="P426" s="4">
        <v>13.76</v>
      </c>
      <c r="Q426" s="5">
        <f t="shared" si="18"/>
        <v>16.512</v>
      </c>
      <c r="R426" s="4">
        <v>17.2</v>
      </c>
      <c r="S426" s="5">
        <f t="shared" si="19"/>
        <v>20.639999999999997</v>
      </c>
      <c r="T426" s="4">
        <v>20.64</v>
      </c>
      <c r="U426" s="5">
        <f t="shared" si="20"/>
        <v>24.768000000000001</v>
      </c>
      <c r="V426" s="1" t="s">
        <v>31</v>
      </c>
    </row>
    <row r="427" spans="1:22" x14ac:dyDescent="0.2">
      <c r="A427" s="1">
        <v>4867505</v>
      </c>
      <c r="B427" s="1" t="s">
        <v>2211</v>
      </c>
      <c r="C427" s="1" t="str">
        <f>"9788024633350"</f>
        <v>9788024633350</v>
      </c>
      <c r="D427" s="1" t="str">
        <f>"9788024633848"</f>
        <v>9788024633848</v>
      </c>
      <c r="E427" s="2" t="s">
        <v>2178</v>
      </c>
      <c r="F427" s="2" t="s">
        <v>2158</v>
      </c>
      <c r="G427" s="1" t="s">
        <v>24</v>
      </c>
      <c r="H427" s="1">
        <v>1</v>
      </c>
      <c r="J427" s="1" t="s">
        <v>2212</v>
      </c>
      <c r="K427" s="1" t="s">
        <v>696</v>
      </c>
      <c r="L427" s="1" t="s">
        <v>2213</v>
      </c>
      <c r="M427" s="1" t="s">
        <v>2214</v>
      </c>
      <c r="N427" s="1" t="s">
        <v>2215</v>
      </c>
      <c r="O427" s="1" t="s">
        <v>39</v>
      </c>
      <c r="P427" s="4">
        <v>13.76</v>
      </c>
      <c r="Q427" s="5">
        <f t="shared" si="18"/>
        <v>16.512</v>
      </c>
      <c r="R427" s="4">
        <v>17.2</v>
      </c>
      <c r="S427" s="5">
        <f t="shared" si="19"/>
        <v>20.639999999999997</v>
      </c>
      <c r="T427" s="4">
        <v>20.64</v>
      </c>
      <c r="U427" s="5">
        <f t="shared" si="20"/>
        <v>24.768000000000001</v>
      </c>
      <c r="V427" s="1" t="s">
        <v>31</v>
      </c>
    </row>
    <row r="428" spans="1:22" x14ac:dyDescent="0.2">
      <c r="A428" s="1">
        <v>4867506</v>
      </c>
      <c r="B428" s="1" t="s">
        <v>2216</v>
      </c>
      <c r="C428" s="1" t="str">
        <f>"9788024635545"</f>
        <v>9788024635545</v>
      </c>
      <c r="D428" s="1" t="str">
        <f>"9788024635736"</f>
        <v>9788024635736</v>
      </c>
      <c r="E428" s="2" t="s">
        <v>2178</v>
      </c>
      <c r="F428" s="2" t="s">
        <v>2158</v>
      </c>
      <c r="G428" s="1" t="s">
        <v>24</v>
      </c>
      <c r="H428" s="1">
        <v>1</v>
      </c>
      <c r="J428" s="1" t="s">
        <v>2217</v>
      </c>
      <c r="K428" s="1" t="s">
        <v>79</v>
      </c>
      <c r="L428" s="1" t="s">
        <v>2218</v>
      </c>
      <c r="M428" s="1">
        <v>414</v>
      </c>
      <c r="N428" s="1" t="s">
        <v>2219</v>
      </c>
      <c r="O428" s="1" t="s">
        <v>39</v>
      </c>
      <c r="P428" s="4">
        <v>13.76</v>
      </c>
      <c r="Q428" s="5">
        <f t="shared" si="18"/>
        <v>16.512</v>
      </c>
      <c r="R428" s="4">
        <v>17.2</v>
      </c>
      <c r="S428" s="5">
        <f t="shared" si="19"/>
        <v>20.639999999999997</v>
      </c>
      <c r="T428" s="4">
        <v>20.64</v>
      </c>
      <c r="U428" s="5">
        <f t="shared" si="20"/>
        <v>24.768000000000001</v>
      </c>
      <c r="V428" s="1" t="s">
        <v>31</v>
      </c>
    </row>
    <row r="429" spans="1:22" x14ac:dyDescent="0.2">
      <c r="A429" s="1">
        <v>4867507</v>
      </c>
      <c r="B429" s="1" t="s">
        <v>2220</v>
      </c>
      <c r="C429" s="1" t="str">
        <f>"9788024634500"</f>
        <v>9788024634500</v>
      </c>
      <c r="D429" s="1" t="str">
        <f>"9788024634968"</f>
        <v>9788024634968</v>
      </c>
      <c r="E429" s="2" t="s">
        <v>1938</v>
      </c>
      <c r="F429" s="2" t="s">
        <v>2158</v>
      </c>
      <c r="G429" s="1" t="s">
        <v>24</v>
      </c>
      <c r="H429" s="1">
        <v>1</v>
      </c>
      <c r="J429" s="1" t="s">
        <v>2221</v>
      </c>
      <c r="K429" s="1" t="s">
        <v>124</v>
      </c>
      <c r="L429" s="1" t="s">
        <v>2222</v>
      </c>
      <c r="M429" s="1" t="s">
        <v>2223</v>
      </c>
      <c r="N429" s="1" t="s">
        <v>2224</v>
      </c>
      <c r="O429" s="1" t="s">
        <v>39</v>
      </c>
      <c r="P429" s="4">
        <v>13.76</v>
      </c>
      <c r="Q429" s="5">
        <f t="shared" si="18"/>
        <v>16.512</v>
      </c>
      <c r="R429" s="4">
        <v>17.2</v>
      </c>
      <c r="S429" s="5">
        <f t="shared" si="19"/>
        <v>20.639999999999997</v>
      </c>
      <c r="T429" s="4">
        <v>20.64</v>
      </c>
      <c r="U429" s="5">
        <f t="shared" si="20"/>
        <v>24.768000000000001</v>
      </c>
      <c r="V429" s="1" t="s">
        <v>31</v>
      </c>
    </row>
    <row r="430" spans="1:22" x14ac:dyDescent="0.2">
      <c r="A430" s="1">
        <v>4867508</v>
      </c>
      <c r="B430" s="1" t="s">
        <v>2225</v>
      </c>
      <c r="C430" s="1" t="str">
        <f>"9788024635583"</f>
        <v>9788024635583</v>
      </c>
      <c r="D430" s="1" t="str">
        <f>"9788024635750"</f>
        <v>9788024635750</v>
      </c>
      <c r="E430" s="2" t="s">
        <v>2131</v>
      </c>
      <c r="F430" s="2" t="s">
        <v>2158</v>
      </c>
      <c r="G430" s="1" t="s">
        <v>24</v>
      </c>
      <c r="H430" s="1">
        <v>1</v>
      </c>
      <c r="J430" s="1" t="s">
        <v>2226</v>
      </c>
      <c r="K430" s="1" t="s">
        <v>260</v>
      </c>
      <c r="L430" s="1" t="s">
        <v>2227</v>
      </c>
      <c r="M430" s="1">
        <v>370</v>
      </c>
      <c r="N430" s="1" t="s">
        <v>2228</v>
      </c>
      <c r="O430" s="1" t="s">
        <v>39</v>
      </c>
      <c r="P430" s="4">
        <v>13.76</v>
      </c>
      <c r="Q430" s="5">
        <f t="shared" si="18"/>
        <v>16.512</v>
      </c>
      <c r="R430" s="4">
        <v>17.2</v>
      </c>
      <c r="S430" s="5">
        <f t="shared" si="19"/>
        <v>20.639999999999997</v>
      </c>
      <c r="T430" s="4">
        <v>20.64</v>
      </c>
      <c r="U430" s="5">
        <f t="shared" si="20"/>
        <v>24.768000000000001</v>
      </c>
      <c r="V430" s="1" t="s">
        <v>31</v>
      </c>
    </row>
    <row r="431" spans="1:22" x14ac:dyDescent="0.2">
      <c r="A431" s="1">
        <v>4867509</v>
      </c>
      <c r="B431" s="1" t="s">
        <v>2229</v>
      </c>
      <c r="C431" s="1" t="str">
        <f>"9788024636009"</f>
        <v>9788024636009</v>
      </c>
      <c r="D431" s="1" t="str">
        <f>"9788024636177"</f>
        <v>9788024636177</v>
      </c>
      <c r="E431" s="2" t="s">
        <v>2178</v>
      </c>
      <c r="F431" s="2" t="s">
        <v>2158</v>
      </c>
      <c r="G431" s="1" t="s">
        <v>24</v>
      </c>
      <c r="H431" s="1">
        <v>1</v>
      </c>
      <c r="J431" s="1" t="s">
        <v>2230</v>
      </c>
      <c r="K431" s="1" t="s">
        <v>2231</v>
      </c>
      <c r="L431" s="1" t="s">
        <v>2232</v>
      </c>
      <c r="M431" s="1" t="s">
        <v>2233</v>
      </c>
      <c r="N431" s="1" t="s">
        <v>2234</v>
      </c>
      <c r="O431" s="1" t="s">
        <v>39</v>
      </c>
      <c r="P431" s="4">
        <v>13.76</v>
      </c>
      <c r="Q431" s="5">
        <f t="shared" si="18"/>
        <v>16.512</v>
      </c>
      <c r="R431" s="4">
        <v>17.2</v>
      </c>
      <c r="S431" s="5">
        <f t="shared" si="19"/>
        <v>20.639999999999997</v>
      </c>
      <c r="T431" s="4">
        <v>20.64</v>
      </c>
      <c r="U431" s="5">
        <f t="shared" si="20"/>
        <v>24.768000000000001</v>
      </c>
      <c r="V431" s="1" t="s">
        <v>31</v>
      </c>
    </row>
    <row r="432" spans="1:22" x14ac:dyDescent="0.2">
      <c r="A432" s="1">
        <v>4867510</v>
      </c>
      <c r="B432" s="1" t="s">
        <v>2235</v>
      </c>
      <c r="C432" s="1" t="str">
        <f>"9788024635781"</f>
        <v>9788024635781</v>
      </c>
      <c r="D432" s="1" t="str">
        <f>"9788024635798"</f>
        <v>9788024635798</v>
      </c>
      <c r="E432" s="2" t="s">
        <v>2178</v>
      </c>
      <c r="F432" s="2" t="s">
        <v>2158</v>
      </c>
      <c r="G432" s="1" t="s">
        <v>24</v>
      </c>
      <c r="H432" s="1">
        <v>1</v>
      </c>
      <c r="J432" s="1" t="s">
        <v>2236</v>
      </c>
      <c r="K432" s="1" t="s">
        <v>242</v>
      </c>
      <c r="L432" s="1" t="s">
        <v>2237</v>
      </c>
      <c r="M432" s="1" t="s">
        <v>2238</v>
      </c>
      <c r="N432" s="1" t="s">
        <v>2239</v>
      </c>
      <c r="O432" s="1" t="s">
        <v>30</v>
      </c>
      <c r="P432" s="4">
        <v>22.94</v>
      </c>
      <c r="Q432" s="5">
        <f t="shared" si="18"/>
        <v>27.528000000000002</v>
      </c>
      <c r="R432" s="4">
        <v>28.67</v>
      </c>
      <c r="S432" s="5">
        <f t="shared" si="19"/>
        <v>34.404000000000003</v>
      </c>
      <c r="T432" s="4">
        <v>34.4</v>
      </c>
      <c r="U432" s="5">
        <f t="shared" si="20"/>
        <v>41.279999999999994</v>
      </c>
      <c r="V432" s="1" t="s">
        <v>31</v>
      </c>
    </row>
    <row r="433" spans="1:22" x14ac:dyDescent="0.2">
      <c r="A433" s="1">
        <v>4867512</v>
      </c>
      <c r="B433" s="1" t="s">
        <v>2240</v>
      </c>
      <c r="C433" s="1" t="str">
        <f>"9788024618678"</f>
        <v>9788024618678</v>
      </c>
      <c r="D433" s="1" t="str">
        <f>"9788024632476"</f>
        <v>9788024632476</v>
      </c>
      <c r="E433" s="2" t="s">
        <v>148</v>
      </c>
      <c r="F433" s="2" t="s">
        <v>2158</v>
      </c>
      <c r="G433" s="1" t="s">
        <v>24</v>
      </c>
      <c r="H433" s="1">
        <v>1</v>
      </c>
      <c r="J433" s="1" t="s">
        <v>2241</v>
      </c>
      <c r="K433" s="1" t="s">
        <v>2242</v>
      </c>
      <c r="L433" s="1" t="s">
        <v>2243</v>
      </c>
      <c r="M433" s="1" t="s">
        <v>2244</v>
      </c>
      <c r="N433" s="1" t="s">
        <v>2245</v>
      </c>
      <c r="O433" s="1" t="s">
        <v>39</v>
      </c>
      <c r="P433" s="4">
        <v>13.76</v>
      </c>
      <c r="Q433" s="5">
        <f t="shared" si="18"/>
        <v>16.512</v>
      </c>
      <c r="R433" s="4">
        <v>17.2</v>
      </c>
      <c r="S433" s="5">
        <f t="shared" si="19"/>
        <v>20.639999999999997</v>
      </c>
      <c r="T433" s="4">
        <v>20.64</v>
      </c>
      <c r="U433" s="5">
        <f t="shared" si="20"/>
        <v>24.768000000000001</v>
      </c>
      <c r="V433" s="1" t="s">
        <v>31</v>
      </c>
    </row>
    <row r="434" spans="1:22" x14ac:dyDescent="0.2">
      <c r="A434" s="1">
        <v>4914072</v>
      </c>
      <c r="B434" s="1" t="s">
        <v>2246</v>
      </c>
      <c r="C434" s="1" t="str">
        <f>"9788024624839"</f>
        <v>9788024624839</v>
      </c>
      <c r="D434" s="1" t="str">
        <f>"9788024625096"</f>
        <v>9788024625096</v>
      </c>
      <c r="E434" s="2" t="s">
        <v>109</v>
      </c>
      <c r="F434" s="2" t="s">
        <v>2247</v>
      </c>
      <c r="G434" s="1" t="s">
        <v>24</v>
      </c>
      <c r="H434" s="1">
        <v>1</v>
      </c>
      <c r="J434" s="1" t="s">
        <v>2248</v>
      </c>
      <c r="K434" s="1" t="s">
        <v>341</v>
      </c>
      <c r="L434" s="1" t="s">
        <v>2249</v>
      </c>
      <c r="M434" s="1" t="s">
        <v>2250</v>
      </c>
      <c r="N434" s="1" t="s">
        <v>2251</v>
      </c>
      <c r="O434" s="1" t="s">
        <v>39</v>
      </c>
      <c r="P434" s="4">
        <v>13.76</v>
      </c>
      <c r="Q434" s="5">
        <f t="shared" si="18"/>
        <v>16.512</v>
      </c>
      <c r="R434" s="4">
        <v>17.2</v>
      </c>
      <c r="S434" s="5">
        <f t="shared" si="19"/>
        <v>20.639999999999997</v>
      </c>
      <c r="T434" s="4">
        <v>20.64</v>
      </c>
      <c r="U434" s="5">
        <f t="shared" si="20"/>
        <v>24.768000000000001</v>
      </c>
      <c r="V434" s="1" t="s">
        <v>31</v>
      </c>
    </row>
    <row r="435" spans="1:22" x14ac:dyDescent="0.2">
      <c r="A435" s="1">
        <v>4914073</v>
      </c>
      <c r="B435" s="1" t="s">
        <v>2252</v>
      </c>
      <c r="C435" s="1" t="str">
        <f>"9788024624846"</f>
        <v>9788024624846</v>
      </c>
      <c r="D435" s="1" t="str">
        <f>"9788024627373"</f>
        <v>9788024627373</v>
      </c>
      <c r="E435" s="2" t="s">
        <v>22</v>
      </c>
      <c r="F435" s="2" t="s">
        <v>2247</v>
      </c>
      <c r="G435" s="1" t="s">
        <v>24</v>
      </c>
      <c r="H435" s="1">
        <v>1</v>
      </c>
      <c r="J435" s="1" t="s">
        <v>642</v>
      </c>
      <c r="K435" s="1" t="s">
        <v>242</v>
      </c>
      <c r="L435" s="1" t="s">
        <v>2253</v>
      </c>
      <c r="M435" s="1" t="s">
        <v>2254</v>
      </c>
      <c r="N435" s="1" t="s">
        <v>2255</v>
      </c>
      <c r="O435" s="1" t="s">
        <v>39</v>
      </c>
      <c r="P435" s="4">
        <v>15.6</v>
      </c>
      <c r="Q435" s="5">
        <f t="shared" si="18"/>
        <v>18.72</v>
      </c>
      <c r="R435" s="4">
        <v>19.5</v>
      </c>
      <c r="S435" s="5">
        <f t="shared" si="19"/>
        <v>23.4</v>
      </c>
      <c r="T435" s="4">
        <v>23.39</v>
      </c>
      <c r="U435" s="5">
        <f t="shared" si="20"/>
        <v>28.068000000000001</v>
      </c>
      <c r="V435" s="1" t="s">
        <v>31</v>
      </c>
    </row>
    <row r="436" spans="1:22" x14ac:dyDescent="0.2">
      <c r="A436" s="1">
        <v>4914074</v>
      </c>
      <c r="B436" s="1" t="s">
        <v>2256</v>
      </c>
      <c r="C436" s="1" t="str">
        <f>"9788024631783"</f>
        <v>9788024631783</v>
      </c>
      <c r="D436" s="1" t="str">
        <f>"9788024632087"</f>
        <v>9788024632087</v>
      </c>
      <c r="E436" s="2" t="s">
        <v>2178</v>
      </c>
      <c r="F436" s="2" t="s">
        <v>2247</v>
      </c>
      <c r="G436" s="1" t="s">
        <v>24</v>
      </c>
      <c r="H436" s="1">
        <v>1</v>
      </c>
      <c r="J436" s="1" t="s">
        <v>2257</v>
      </c>
      <c r="K436" s="1" t="s">
        <v>111</v>
      </c>
      <c r="L436" s="1" t="s">
        <v>2258</v>
      </c>
      <c r="M436" s="1" t="s">
        <v>2259</v>
      </c>
      <c r="N436" s="1" t="s">
        <v>2260</v>
      </c>
      <c r="O436" s="1" t="s">
        <v>39</v>
      </c>
      <c r="P436" s="4">
        <v>19.27</v>
      </c>
      <c r="Q436" s="5">
        <f t="shared" si="18"/>
        <v>23.123999999999999</v>
      </c>
      <c r="R436" s="4">
        <v>24.08</v>
      </c>
      <c r="S436" s="5">
        <f t="shared" si="19"/>
        <v>28.895999999999997</v>
      </c>
      <c r="T436" s="4">
        <v>28.9</v>
      </c>
      <c r="U436" s="5">
        <f t="shared" si="20"/>
        <v>34.68</v>
      </c>
      <c r="V436" s="1" t="s">
        <v>31</v>
      </c>
    </row>
    <row r="437" spans="1:22" x14ac:dyDescent="0.2">
      <c r="A437" s="1">
        <v>4914075</v>
      </c>
      <c r="B437" s="1" t="s">
        <v>2261</v>
      </c>
      <c r="C437" s="1" t="str">
        <f>"9788024631851"</f>
        <v>9788024631851</v>
      </c>
      <c r="D437" s="1" t="str">
        <f>"9788024632131"</f>
        <v>9788024632131</v>
      </c>
      <c r="E437" s="2" t="s">
        <v>2126</v>
      </c>
      <c r="F437" s="2" t="s">
        <v>2247</v>
      </c>
      <c r="G437" s="1" t="s">
        <v>24</v>
      </c>
      <c r="H437" s="1">
        <v>1</v>
      </c>
      <c r="J437" s="1" t="s">
        <v>1681</v>
      </c>
      <c r="K437" s="1" t="s">
        <v>36</v>
      </c>
      <c r="L437" s="1" t="s">
        <v>2262</v>
      </c>
      <c r="M437" s="1" t="s">
        <v>1612</v>
      </c>
      <c r="N437" s="1" t="s">
        <v>2263</v>
      </c>
      <c r="O437" s="1" t="s">
        <v>39</v>
      </c>
      <c r="P437" s="4">
        <v>21.1</v>
      </c>
      <c r="Q437" s="5">
        <f t="shared" si="18"/>
        <v>25.32</v>
      </c>
      <c r="R437" s="4">
        <v>26.38</v>
      </c>
      <c r="S437" s="5">
        <f t="shared" si="19"/>
        <v>31.655999999999999</v>
      </c>
      <c r="T437" s="4">
        <v>31.65</v>
      </c>
      <c r="U437" s="5">
        <f t="shared" si="20"/>
        <v>37.979999999999997</v>
      </c>
      <c r="V437" s="1" t="s">
        <v>31</v>
      </c>
    </row>
    <row r="438" spans="1:22" x14ac:dyDescent="0.2">
      <c r="A438" s="1">
        <v>4914076</v>
      </c>
      <c r="B438" s="1" t="s">
        <v>2264</v>
      </c>
      <c r="C438" s="1" t="str">
        <f>"9788024632384"</f>
        <v>9788024632384</v>
      </c>
      <c r="D438" s="1" t="str">
        <f>"9788024632483"</f>
        <v>9788024632483</v>
      </c>
      <c r="E438" s="2" t="s">
        <v>1984</v>
      </c>
      <c r="F438" s="2" t="s">
        <v>2247</v>
      </c>
      <c r="G438" s="1" t="s">
        <v>24</v>
      </c>
      <c r="H438" s="1">
        <v>1</v>
      </c>
      <c r="J438" s="1" t="s">
        <v>2265</v>
      </c>
      <c r="K438" s="1" t="s">
        <v>124</v>
      </c>
      <c r="L438" s="1" t="s">
        <v>2266</v>
      </c>
      <c r="M438" s="1" t="s">
        <v>2267</v>
      </c>
      <c r="N438" s="1" t="s">
        <v>2268</v>
      </c>
      <c r="O438" s="1" t="s">
        <v>39</v>
      </c>
      <c r="P438" s="4">
        <v>19.27</v>
      </c>
      <c r="Q438" s="5">
        <f t="shared" si="18"/>
        <v>23.123999999999999</v>
      </c>
      <c r="R438" s="4">
        <v>24.08</v>
      </c>
      <c r="S438" s="5">
        <f t="shared" si="19"/>
        <v>28.895999999999997</v>
      </c>
      <c r="T438" s="4">
        <v>28.9</v>
      </c>
      <c r="U438" s="5">
        <f t="shared" si="20"/>
        <v>34.68</v>
      </c>
      <c r="V438" s="1" t="s">
        <v>31</v>
      </c>
    </row>
    <row r="439" spans="1:22" x14ac:dyDescent="0.2">
      <c r="A439" s="1">
        <v>4914077</v>
      </c>
      <c r="B439" s="1" t="s">
        <v>2269</v>
      </c>
      <c r="C439" s="1" t="str">
        <f>"9788024632810"</f>
        <v>9788024632810</v>
      </c>
      <c r="D439" s="1" t="str">
        <f>"9788024633176"</f>
        <v>9788024633176</v>
      </c>
      <c r="E439" s="2" t="s">
        <v>2163</v>
      </c>
      <c r="F439" s="2" t="s">
        <v>2247</v>
      </c>
      <c r="G439" s="1" t="s">
        <v>24</v>
      </c>
      <c r="H439" s="1">
        <v>1</v>
      </c>
      <c r="J439" s="1" t="s">
        <v>2270</v>
      </c>
      <c r="K439" s="1" t="s">
        <v>2271</v>
      </c>
      <c r="L439" s="1" t="s">
        <v>2272</v>
      </c>
      <c r="M439" s="1" t="s">
        <v>2273</v>
      </c>
      <c r="N439" s="1" t="s">
        <v>2274</v>
      </c>
      <c r="O439" s="1" t="s">
        <v>39</v>
      </c>
      <c r="P439" s="4">
        <v>17.43</v>
      </c>
      <c r="Q439" s="5">
        <f t="shared" si="18"/>
        <v>20.916</v>
      </c>
      <c r="R439" s="4">
        <v>21.79</v>
      </c>
      <c r="S439" s="5">
        <f t="shared" si="19"/>
        <v>26.148</v>
      </c>
      <c r="T439" s="4">
        <v>26.15</v>
      </c>
      <c r="U439" s="5">
        <f t="shared" si="20"/>
        <v>31.379999999999995</v>
      </c>
      <c r="V439" s="1" t="s">
        <v>31</v>
      </c>
    </row>
    <row r="440" spans="1:22" x14ac:dyDescent="0.2">
      <c r="A440" s="1">
        <v>4914078</v>
      </c>
      <c r="B440" s="1" t="s">
        <v>2275</v>
      </c>
      <c r="C440" s="1" t="str">
        <f>"9788024633541"</f>
        <v>9788024633541</v>
      </c>
      <c r="D440" s="1" t="str">
        <f>"9788024634326"</f>
        <v>9788024634326</v>
      </c>
      <c r="E440" s="2" t="s">
        <v>2178</v>
      </c>
      <c r="F440" s="2" t="s">
        <v>2247</v>
      </c>
      <c r="G440" s="1" t="s">
        <v>24</v>
      </c>
      <c r="H440" s="1">
        <v>1</v>
      </c>
      <c r="J440" s="1" t="s">
        <v>2276</v>
      </c>
      <c r="K440" s="1" t="s">
        <v>79</v>
      </c>
      <c r="L440" s="1" t="s">
        <v>2277</v>
      </c>
      <c r="M440" s="1" t="s">
        <v>2278</v>
      </c>
      <c r="N440" s="1" t="s">
        <v>2279</v>
      </c>
      <c r="O440" s="1" t="s">
        <v>39</v>
      </c>
      <c r="P440" s="4">
        <v>21.1</v>
      </c>
      <c r="Q440" s="5">
        <f t="shared" si="18"/>
        <v>25.32</v>
      </c>
      <c r="R440" s="4">
        <v>26.38</v>
      </c>
      <c r="S440" s="5">
        <f t="shared" si="19"/>
        <v>31.655999999999999</v>
      </c>
      <c r="T440" s="4">
        <v>31.65</v>
      </c>
      <c r="U440" s="5">
        <f t="shared" si="20"/>
        <v>37.979999999999997</v>
      </c>
      <c r="V440" s="1" t="s">
        <v>31</v>
      </c>
    </row>
    <row r="441" spans="1:22" x14ac:dyDescent="0.2">
      <c r="A441" s="1">
        <v>4914079</v>
      </c>
      <c r="B441" s="1" t="s">
        <v>2280</v>
      </c>
      <c r="C441" s="1" t="str">
        <f>"9788024635606"</f>
        <v>9788024635606</v>
      </c>
      <c r="D441" s="1" t="str">
        <f>"9788024635996"</f>
        <v>9788024635996</v>
      </c>
      <c r="E441" s="2" t="s">
        <v>2163</v>
      </c>
      <c r="F441" s="2" t="s">
        <v>2247</v>
      </c>
      <c r="G441" s="1" t="s">
        <v>24</v>
      </c>
      <c r="H441" s="1">
        <v>1</v>
      </c>
      <c r="J441" s="1" t="s">
        <v>2281</v>
      </c>
      <c r="K441" s="1" t="s">
        <v>79</v>
      </c>
      <c r="L441" s="1" t="s">
        <v>2282</v>
      </c>
      <c r="M441" s="1">
        <v>410</v>
      </c>
      <c r="N441" s="1" t="s">
        <v>825</v>
      </c>
      <c r="O441" s="1" t="s">
        <v>754</v>
      </c>
      <c r="P441" s="4">
        <v>13.76</v>
      </c>
      <c r="Q441" s="5">
        <f t="shared" si="18"/>
        <v>16.512</v>
      </c>
      <c r="R441" s="4">
        <v>17.2</v>
      </c>
      <c r="S441" s="5">
        <f t="shared" si="19"/>
        <v>20.639999999999997</v>
      </c>
      <c r="T441" s="4">
        <v>20.64</v>
      </c>
      <c r="U441" s="5">
        <f t="shared" si="20"/>
        <v>24.768000000000001</v>
      </c>
      <c r="V441" s="1" t="s">
        <v>31</v>
      </c>
    </row>
    <row r="442" spans="1:22" x14ac:dyDescent="0.2">
      <c r="A442" s="1">
        <v>4915543</v>
      </c>
      <c r="B442" s="1" t="s">
        <v>2283</v>
      </c>
      <c r="C442" s="1" t="str">
        <f>"9788024621005"</f>
        <v>9788024621005</v>
      </c>
      <c r="D442" s="1" t="str">
        <f>"9788024626956"</f>
        <v>9788024626956</v>
      </c>
      <c r="E442" s="2" t="s">
        <v>116</v>
      </c>
      <c r="F442" s="2" t="s">
        <v>2284</v>
      </c>
      <c r="G442" s="1" t="s">
        <v>24</v>
      </c>
      <c r="H442" s="1">
        <v>1</v>
      </c>
      <c r="J442" s="1" t="s">
        <v>2285</v>
      </c>
      <c r="K442" s="1" t="s">
        <v>111</v>
      </c>
      <c r="L442" s="1" t="s">
        <v>2286</v>
      </c>
      <c r="M442" s="1" t="s">
        <v>784</v>
      </c>
      <c r="N442" s="1" t="s">
        <v>2287</v>
      </c>
      <c r="O442" s="1" t="s">
        <v>39</v>
      </c>
      <c r="P442" s="4">
        <v>18.350000000000001</v>
      </c>
      <c r="Q442" s="5">
        <f t="shared" si="18"/>
        <v>22.02</v>
      </c>
      <c r="R442" s="4">
        <v>22.94</v>
      </c>
      <c r="S442" s="5">
        <f t="shared" si="19"/>
        <v>27.528000000000002</v>
      </c>
      <c r="T442" s="4">
        <v>27.52</v>
      </c>
      <c r="U442" s="5">
        <f t="shared" si="20"/>
        <v>33.024000000000001</v>
      </c>
      <c r="V442" s="1" t="s">
        <v>31</v>
      </c>
    </row>
    <row r="443" spans="1:22" x14ac:dyDescent="0.2">
      <c r="A443" s="1">
        <v>4915544</v>
      </c>
      <c r="B443" s="1" t="s">
        <v>2288</v>
      </c>
      <c r="C443" s="1" t="str">
        <f>"9788024622064"</f>
        <v>9788024622064</v>
      </c>
      <c r="D443" s="1" t="str">
        <f>"9788024627083"</f>
        <v>9788024627083</v>
      </c>
      <c r="E443" s="2" t="s">
        <v>332</v>
      </c>
      <c r="F443" s="2" t="s">
        <v>2284</v>
      </c>
      <c r="G443" s="1" t="s">
        <v>24</v>
      </c>
      <c r="H443" s="1">
        <v>1</v>
      </c>
      <c r="J443" s="1" t="s">
        <v>2289</v>
      </c>
      <c r="K443" s="1" t="s">
        <v>260</v>
      </c>
      <c r="L443" s="1" t="s">
        <v>2290</v>
      </c>
      <c r="M443" s="1" t="s">
        <v>2291</v>
      </c>
      <c r="N443" s="1" t="s">
        <v>2292</v>
      </c>
      <c r="O443" s="1" t="s">
        <v>39</v>
      </c>
      <c r="P443" s="4">
        <v>13.76</v>
      </c>
      <c r="Q443" s="5">
        <f t="shared" si="18"/>
        <v>16.512</v>
      </c>
      <c r="R443" s="4">
        <v>17.2</v>
      </c>
      <c r="S443" s="5">
        <f t="shared" si="19"/>
        <v>20.639999999999997</v>
      </c>
      <c r="T443" s="4">
        <v>20.64</v>
      </c>
      <c r="U443" s="5">
        <f t="shared" si="20"/>
        <v>24.768000000000001</v>
      </c>
      <c r="V443" s="1" t="s">
        <v>31</v>
      </c>
    </row>
    <row r="444" spans="1:22" x14ac:dyDescent="0.2">
      <c r="A444" s="1">
        <v>4915545</v>
      </c>
      <c r="B444" s="1" t="s">
        <v>2293</v>
      </c>
      <c r="C444" s="1" t="str">
        <f>"9788024633893"</f>
        <v>9788024633893</v>
      </c>
      <c r="D444" s="1" t="str">
        <f>"9788024634104"</f>
        <v>9788024634104</v>
      </c>
      <c r="E444" s="2" t="s">
        <v>2294</v>
      </c>
      <c r="F444" s="2" t="s">
        <v>2284</v>
      </c>
      <c r="G444" s="1" t="s">
        <v>24</v>
      </c>
      <c r="H444" s="1">
        <v>1</v>
      </c>
      <c r="J444" s="1" t="s">
        <v>2295</v>
      </c>
      <c r="K444" s="1" t="s">
        <v>341</v>
      </c>
      <c r="L444" s="1" t="s">
        <v>2296</v>
      </c>
      <c r="M444" s="1" t="s">
        <v>2297</v>
      </c>
      <c r="N444" s="1" t="s">
        <v>2298</v>
      </c>
      <c r="O444" s="1" t="s">
        <v>39</v>
      </c>
      <c r="P444" s="4">
        <v>13.76</v>
      </c>
      <c r="Q444" s="5">
        <f t="shared" si="18"/>
        <v>16.512</v>
      </c>
      <c r="R444" s="4">
        <v>17.2</v>
      </c>
      <c r="S444" s="5">
        <f t="shared" si="19"/>
        <v>20.639999999999997</v>
      </c>
      <c r="T444" s="4">
        <v>20.64</v>
      </c>
      <c r="U444" s="5">
        <f t="shared" si="20"/>
        <v>24.768000000000001</v>
      </c>
      <c r="V444" s="1" t="s">
        <v>31</v>
      </c>
    </row>
    <row r="445" spans="1:22" x14ac:dyDescent="0.2">
      <c r="A445" s="1">
        <v>4915546</v>
      </c>
      <c r="B445" s="1" t="s">
        <v>2299</v>
      </c>
      <c r="C445" s="1" t="str">
        <f>"9788024630687"</f>
        <v>9788024630687</v>
      </c>
      <c r="D445" s="1" t="str">
        <f>"9788024630854"</f>
        <v>9788024630854</v>
      </c>
      <c r="E445" s="2" t="s">
        <v>2163</v>
      </c>
      <c r="F445" s="2" t="s">
        <v>2284</v>
      </c>
      <c r="G445" s="1" t="s">
        <v>24</v>
      </c>
      <c r="H445" s="1">
        <v>1</v>
      </c>
      <c r="J445" s="1" t="s">
        <v>2300</v>
      </c>
      <c r="K445" s="1" t="s">
        <v>2301</v>
      </c>
      <c r="L445" s="1" t="s">
        <v>2302</v>
      </c>
      <c r="M445" s="1">
        <v>152</v>
      </c>
      <c r="N445" s="1" t="s">
        <v>2303</v>
      </c>
      <c r="O445" s="1" t="s">
        <v>39</v>
      </c>
      <c r="P445" s="4">
        <v>25.69</v>
      </c>
      <c r="Q445" s="5">
        <f t="shared" si="18"/>
        <v>30.827999999999999</v>
      </c>
      <c r="R445" s="4">
        <v>32.11</v>
      </c>
      <c r="S445" s="5">
        <f t="shared" si="19"/>
        <v>38.531999999999996</v>
      </c>
      <c r="T445" s="4">
        <v>38.53</v>
      </c>
      <c r="U445" s="5">
        <f t="shared" si="20"/>
        <v>46.235999999999997</v>
      </c>
      <c r="V445" s="1" t="s">
        <v>31</v>
      </c>
    </row>
    <row r="446" spans="1:22" x14ac:dyDescent="0.2">
      <c r="A446" s="1">
        <v>4915547</v>
      </c>
      <c r="B446" s="1" t="s">
        <v>2304</v>
      </c>
      <c r="C446" s="1" t="str">
        <f>"9788024635316"</f>
        <v>9788024635316</v>
      </c>
      <c r="D446" s="1" t="str">
        <f>"9788024635477"</f>
        <v>9788024635477</v>
      </c>
      <c r="E446" s="2" t="s">
        <v>2294</v>
      </c>
      <c r="F446" s="2" t="s">
        <v>2284</v>
      </c>
      <c r="G446" s="1" t="s">
        <v>24</v>
      </c>
      <c r="H446" s="1">
        <v>1</v>
      </c>
      <c r="J446" s="1" t="s">
        <v>2305</v>
      </c>
      <c r="K446" s="1" t="s">
        <v>181</v>
      </c>
      <c r="L446" s="1" t="s">
        <v>2306</v>
      </c>
      <c r="M446" s="1" t="s">
        <v>1612</v>
      </c>
      <c r="N446" s="1" t="s">
        <v>1613</v>
      </c>
      <c r="O446" s="1" t="s">
        <v>39</v>
      </c>
      <c r="P446" s="4">
        <v>16.510000000000002</v>
      </c>
      <c r="Q446" s="5">
        <f t="shared" si="18"/>
        <v>19.812000000000001</v>
      </c>
      <c r="R446" s="4">
        <v>20.64</v>
      </c>
      <c r="S446" s="5">
        <f t="shared" si="19"/>
        <v>24.768000000000001</v>
      </c>
      <c r="T446" s="4">
        <v>24.77</v>
      </c>
      <c r="U446" s="5">
        <f t="shared" si="20"/>
        <v>29.723999999999997</v>
      </c>
      <c r="V446" s="1" t="s">
        <v>31</v>
      </c>
    </row>
    <row r="447" spans="1:22" x14ac:dyDescent="0.2">
      <c r="A447" s="1">
        <v>4915548</v>
      </c>
      <c r="B447" s="1" t="s">
        <v>2307</v>
      </c>
      <c r="C447" s="1" t="str">
        <f>"9788024633299"</f>
        <v>9788024633299</v>
      </c>
      <c r="D447" s="1" t="str">
        <f>"9788024634111"</f>
        <v>9788024634111</v>
      </c>
      <c r="E447" s="2" t="s">
        <v>2178</v>
      </c>
      <c r="F447" s="2" t="s">
        <v>2284</v>
      </c>
      <c r="G447" s="1" t="s">
        <v>24</v>
      </c>
      <c r="H447" s="1">
        <v>1</v>
      </c>
      <c r="J447" s="1" t="s">
        <v>2308</v>
      </c>
      <c r="K447" s="1" t="s">
        <v>284</v>
      </c>
      <c r="L447" s="1" t="s">
        <v>2309</v>
      </c>
      <c r="M447" s="1" t="s">
        <v>2310</v>
      </c>
      <c r="N447" s="1" t="s">
        <v>2311</v>
      </c>
      <c r="O447" s="1" t="s">
        <v>39</v>
      </c>
      <c r="P447" s="4">
        <v>13.76</v>
      </c>
      <c r="Q447" s="5">
        <f t="shared" si="18"/>
        <v>16.512</v>
      </c>
      <c r="R447" s="4">
        <v>17.2</v>
      </c>
      <c r="S447" s="5">
        <f t="shared" si="19"/>
        <v>20.639999999999997</v>
      </c>
      <c r="T447" s="4">
        <v>20.64</v>
      </c>
      <c r="U447" s="5">
        <f t="shared" si="20"/>
        <v>24.768000000000001</v>
      </c>
      <c r="V447" s="1" t="s">
        <v>31</v>
      </c>
    </row>
    <row r="448" spans="1:22" x14ac:dyDescent="0.2">
      <c r="A448" s="1">
        <v>4915549</v>
      </c>
      <c r="B448" s="1" t="s">
        <v>2312</v>
      </c>
      <c r="C448" s="1" t="str">
        <f>"9788024634357"</f>
        <v>9788024634357</v>
      </c>
      <c r="D448" s="1" t="str">
        <f>"9788024634593"</f>
        <v>9788024634593</v>
      </c>
      <c r="E448" s="2" t="s">
        <v>2163</v>
      </c>
      <c r="F448" s="2" t="s">
        <v>2284</v>
      </c>
      <c r="G448" s="1" t="s">
        <v>24</v>
      </c>
      <c r="H448" s="1">
        <v>1</v>
      </c>
      <c r="J448" s="1" t="s">
        <v>2313</v>
      </c>
      <c r="K448" s="1" t="s">
        <v>124</v>
      </c>
      <c r="L448" s="1" t="s">
        <v>2314</v>
      </c>
      <c r="M448" s="1" t="s">
        <v>2315</v>
      </c>
      <c r="N448" s="1" t="s">
        <v>2316</v>
      </c>
      <c r="O448" s="1" t="s">
        <v>39</v>
      </c>
      <c r="P448" s="4">
        <v>13.76</v>
      </c>
      <c r="Q448" s="5">
        <f t="shared" si="18"/>
        <v>16.512</v>
      </c>
      <c r="R448" s="4">
        <v>17.2</v>
      </c>
      <c r="S448" s="5">
        <f t="shared" si="19"/>
        <v>20.639999999999997</v>
      </c>
      <c r="T448" s="4">
        <v>20.64</v>
      </c>
      <c r="U448" s="5">
        <f t="shared" si="20"/>
        <v>24.768000000000001</v>
      </c>
      <c r="V448" s="1" t="s">
        <v>31</v>
      </c>
    </row>
    <row r="449" spans="1:22" x14ac:dyDescent="0.2">
      <c r="A449" s="1">
        <v>4915550</v>
      </c>
      <c r="B449" s="1" t="s">
        <v>2317</v>
      </c>
      <c r="C449" s="1" t="str">
        <f>"9788024635576"</f>
        <v>9788024635576</v>
      </c>
      <c r="D449" s="1" t="str">
        <f>"9788024635712"</f>
        <v>9788024635712</v>
      </c>
      <c r="E449" s="2" t="s">
        <v>2294</v>
      </c>
      <c r="F449" s="2" t="s">
        <v>2284</v>
      </c>
      <c r="G449" s="1" t="s">
        <v>24</v>
      </c>
      <c r="H449" s="1">
        <v>1</v>
      </c>
      <c r="J449" s="1" t="s">
        <v>2318</v>
      </c>
      <c r="K449" s="1" t="s">
        <v>111</v>
      </c>
      <c r="L449" s="1" t="s">
        <v>2319</v>
      </c>
      <c r="M449" s="1" t="s">
        <v>2320</v>
      </c>
      <c r="N449" s="1" t="s">
        <v>2321</v>
      </c>
      <c r="O449" s="1" t="s">
        <v>39</v>
      </c>
      <c r="P449" s="4">
        <v>18.350000000000001</v>
      </c>
      <c r="Q449" s="5">
        <f t="shared" si="18"/>
        <v>22.02</v>
      </c>
      <c r="R449" s="4">
        <v>22.94</v>
      </c>
      <c r="S449" s="5">
        <f t="shared" si="19"/>
        <v>27.528000000000002</v>
      </c>
      <c r="T449" s="4">
        <v>27.52</v>
      </c>
      <c r="U449" s="5">
        <f t="shared" si="20"/>
        <v>33.024000000000001</v>
      </c>
      <c r="V449" s="1" t="s">
        <v>31</v>
      </c>
    </row>
    <row r="450" spans="1:22" x14ac:dyDescent="0.2">
      <c r="A450" s="1">
        <v>4915551</v>
      </c>
      <c r="B450" s="1" t="s">
        <v>2322</v>
      </c>
      <c r="C450" s="1" t="str">
        <f>"9788024634395"</f>
        <v>9788024634395</v>
      </c>
      <c r="D450" s="1" t="str">
        <f>"9788024634852"</f>
        <v>9788024634852</v>
      </c>
      <c r="E450" s="2" t="s">
        <v>2131</v>
      </c>
      <c r="F450" s="2" t="s">
        <v>2284</v>
      </c>
      <c r="G450" s="1" t="s">
        <v>24</v>
      </c>
      <c r="H450" s="1">
        <v>1</v>
      </c>
      <c r="J450" s="1" t="s">
        <v>2323</v>
      </c>
      <c r="K450" s="1" t="s">
        <v>64</v>
      </c>
      <c r="L450" s="1" t="s">
        <v>2324</v>
      </c>
      <c r="M450" s="1" t="s">
        <v>2325</v>
      </c>
      <c r="N450" s="1" t="s">
        <v>2326</v>
      </c>
      <c r="O450" s="1" t="s">
        <v>39</v>
      </c>
      <c r="P450" s="4">
        <v>13.76</v>
      </c>
      <c r="Q450" s="5">
        <f t="shared" si="18"/>
        <v>16.512</v>
      </c>
      <c r="R450" s="4">
        <v>17.2</v>
      </c>
      <c r="S450" s="5">
        <f t="shared" si="19"/>
        <v>20.639999999999997</v>
      </c>
      <c r="T450" s="4">
        <v>20.64</v>
      </c>
      <c r="U450" s="5">
        <f t="shared" si="20"/>
        <v>24.768000000000001</v>
      </c>
      <c r="V450" s="1" t="s">
        <v>31</v>
      </c>
    </row>
    <row r="451" spans="1:22" x14ac:dyDescent="0.2">
      <c r="A451" s="1">
        <v>4915552</v>
      </c>
      <c r="B451" s="1" t="s">
        <v>2327</v>
      </c>
      <c r="C451" s="1" t="str">
        <f>"9788024633602"</f>
        <v>9788024633602</v>
      </c>
      <c r="D451" s="1" t="str">
        <f>"9788024633879"</f>
        <v>9788024633879</v>
      </c>
      <c r="E451" s="2" t="s">
        <v>2131</v>
      </c>
      <c r="F451" s="2" t="s">
        <v>2284</v>
      </c>
      <c r="G451" s="1" t="s">
        <v>24</v>
      </c>
      <c r="H451" s="1">
        <v>1</v>
      </c>
      <c r="J451" s="1" t="s">
        <v>2328</v>
      </c>
      <c r="K451" s="1" t="s">
        <v>277</v>
      </c>
      <c r="L451" s="1" t="s">
        <v>2329</v>
      </c>
      <c r="M451" s="1" t="s">
        <v>2330</v>
      </c>
      <c r="N451" s="1" t="s">
        <v>2331</v>
      </c>
      <c r="O451" s="1" t="s">
        <v>39</v>
      </c>
      <c r="P451" s="4">
        <v>17.43</v>
      </c>
      <c r="Q451" s="5">
        <f t="shared" ref="Q451:Q514" si="21">P451*1.2</f>
        <v>20.916</v>
      </c>
      <c r="R451" s="4">
        <v>21.79</v>
      </c>
      <c r="S451" s="5">
        <f t="shared" ref="S451:S514" si="22">R451*1.2</f>
        <v>26.148</v>
      </c>
      <c r="T451" s="4">
        <v>26.15</v>
      </c>
      <c r="U451" s="5">
        <f t="shared" ref="U451:U514" si="23">T451*1.2</f>
        <v>31.379999999999995</v>
      </c>
      <c r="V451" s="1" t="s">
        <v>31</v>
      </c>
    </row>
    <row r="452" spans="1:22" x14ac:dyDescent="0.2">
      <c r="A452" s="1">
        <v>4915553</v>
      </c>
      <c r="B452" s="1" t="s">
        <v>585</v>
      </c>
      <c r="C452" s="1" t="str">
        <f>"9788024636573"</f>
        <v>9788024636573</v>
      </c>
      <c r="D452" s="1" t="str">
        <f>"9788024636580"</f>
        <v>9788024636580</v>
      </c>
      <c r="E452" s="2" t="s">
        <v>2294</v>
      </c>
      <c r="F452" s="2" t="s">
        <v>2284</v>
      </c>
      <c r="G452" s="1" t="s">
        <v>24</v>
      </c>
      <c r="H452" s="1">
        <v>2</v>
      </c>
      <c r="J452" s="1" t="s">
        <v>586</v>
      </c>
      <c r="K452" s="1" t="s">
        <v>2332</v>
      </c>
      <c r="L452" s="1" t="s">
        <v>2333</v>
      </c>
      <c r="M452" s="1" t="s">
        <v>2334</v>
      </c>
      <c r="N452" s="1" t="s">
        <v>2335</v>
      </c>
      <c r="O452" s="1" t="s">
        <v>39</v>
      </c>
      <c r="P452" s="4">
        <v>13.76</v>
      </c>
      <c r="Q452" s="5">
        <f t="shared" si="21"/>
        <v>16.512</v>
      </c>
      <c r="R452" s="4">
        <v>17.2</v>
      </c>
      <c r="S452" s="5">
        <f t="shared" si="22"/>
        <v>20.639999999999997</v>
      </c>
      <c r="T452" s="4">
        <v>20.64</v>
      </c>
      <c r="U452" s="5">
        <f t="shared" si="23"/>
        <v>24.768000000000001</v>
      </c>
      <c r="V452" s="1" t="s">
        <v>31</v>
      </c>
    </row>
    <row r="453" spans="1:22" x14ac:dyDescent="0.2">
      <c r="A453" s="1">
        <v>4915554</v>
      </c>
      <c r="B453" s="1" t="s">
        <v>2336</v>
      </c>
      <c r="C453" s="1" t="str">
        <f>"9788024636344"</f>
        <v>9788024636344</v>
      </c>
      <c r="D453" s="1" t="str">
        <f>"9788024636399"</f>
        <v>9788024636399</v>
      </c>
      <c r="E453" s="2" t="s">
        <v>2294</v>
      </c>
      <c r="F453" s="2" t="s">
        <v>2284</v>
      </c>
      <c r="G453" s="1" t="s">
        <v>24</v>
      </c>
      <c r="H453" s="1">
        <v>2</v>
      </c>
      <c r="J453" s="1" t="s">
        <v>340</v>
      </c>
      <c r="K453" s="1" t="s">
        <v>26</v>
      </c>
      <c r="L453" s="1" t="s">
        <v>2337</v>
      </c>
      <c r="M453" s="1" t="s">
        <v>2338</v>
      </c>
      <c r="N453" s="1" t="s">
        <v>2339</v>
      </c>
      <c r="O453" s="1" t="s">
        <v>39</v>
      </c>
      <c r="P453" s="4">
        <v>13.76</v>
      </c>
      <c r="Q453" s="5">
        <f t="shared" si="21"/>
        <v>16.512</v>
      </c>
      <c r="R453" s="4">
        <v>17.2</v>
      </c>
      <c r="S453" s="5">
        <f t="shared" si="22"/>
        <v>20.639999999999997</v>
      </c>
      <c r="T453" s="4">
        <v>20.64</v>
      </c>
      <c r="U453" s="5">
        <f t="shared" si="23"/>
        <v>24.768000000000001</v>
      </c>
      <c r="V453" s="1" t="s">
        <v>31</v>
      </c>
    </row>
    <row r="454" spans="1:22" x14ac:dyDescent="0.2">
      <c r="A454" s="1">
        <v>4915555</v>
      </c>
      <c r="B454" s="1" t="s">
        <v>2340</v>
      </c>
      <c r="C454" s="1" t="str">
        <f>"9788024636047"</f>
        <v>9788024636047</v>
      </c>
      <c r="D454" s="1" t="str">
        <f>"9788024636528"</f>
        <v>9788024636528</v>
      </c>
      <c r="E454" s="2" t="s">
        <v>2294</v>
      </c>
      <c r="F454" s="2" t="s">
        <v>2284</v>
      </c>
      <c r="G454" s="1" t="s">
        <v>24</v>
      </c>
      <c r="H454" s="1">
        <v>1</v>
      </c>
      <c r="J454" s="1" t="s">
        <v>2341</v>
      </c>
      <c r="K454" s="1" t="s">
        <v>248</v>
      </c>
      <c r="L454" s="1" t="s">
        <v>2342</v>
      </c>
      <c r="M454" s="1" t="s">
        <v>2343</v>
      </c>
      <c r="N454" s="1" t="s">
        <v>2344</v>
      </c>
      <c r="O454" s="1" t="s">
        <v>39</v>
      </c>
      <c r="P454" s="4">
        <v>13.76</v>
      </c>
      <c r="Q454" s="5">
        <f t="shared" si="21"/>
        <v>16.512</v>
      </c>
      <c r="R454" s="4">
        <v>17.2</v>
      </c>
      <c r="S454" s="5">
        <f t="shared" si="22"/>
        <v>20.639999999999997</v>
      </c>
      <c r="T454" s="4">
        <v>20.64</v>
      </c>
      <c r="U454" s="5">
        <f t="shared" si="23"/>
        <v>24.768000000000001</v>
      </c>
      <c r="V454" s="1" t="s">
        <v>31</v>
      </c>
    </row>
    <row r="455" spans="1:22" x14ac:dyDescent="0.2">
      <c r="A455" s="1">
        <v>4915556</v>
      </c>
      <c r="B455" s="1" t="s">
        <v>2345</v>
      </c>
      <c r="C455" s="1" t="str">
        <f>"9788024635620"</f>
        <v>9788024635620</v>
      </c>
      <c r="D455" s="1" t="str">
        <f>"9788024635859"</f>
        <v>9788024635859</v>
      </c>
      <c r="E455" s="2" t="s">
        <v>2163</v>
      </c>
      <c r="F455" s="2" t="s">
        <v>2284</v>
      </c>
      <c r="G455" s="1" t="s">
        <v>24</v>
      </c>
      <c r="H455" s="1">
        <v>1</v>
      </c>
      <c r="J455" s="1" t="s">
        <v>1521</v>
      </c>
      <c r="K455" s="1" t="s">
        <v>43</v>
      </c>
      <c r="L455" s="1" t="s">
        <v>2346</v>
      </c>
      <c r="M455" s="1">
        <v>306</v>
      </c>
      <c r="N455" s="1" t="s">
        <v>2347</v>
      </c>
      <c r="O455" s="1" t="s">
        <v>30</v>
      </c>
      <c r="P455" s="4">
        <v>15.6</v>
      </c>
      <c r="Q455" s="5">
        <f t="shared" si="21"/>
        <v>18.72</v>
      </c>
      <c r="R455" s="4">
        <v>19.5</v>
      </c>
      <c r="S455" s="5">
        <f t="shared" si="22"/>
        <v>23.4</v>
      </c>
      <c r="T455" s="4">
        <v>23.39</v>
      </c>
      <c r="U455" s="5">
        <f t="shared" si="23"/>
        <v>28.068000000000001</v>
      </c>
      <c r="V455" s="1" t="s">
        <v>31</v>
      </c>
    </row>
    <row r="456" spans="1:22" x14ac:dyDescent="0.2">
      <c r="A456" s="1">
        <v>5110755</v>
      </c>
      <c r="B456" s="1" t="s">
        <v>2348</v>
      </c>
      <c r="C456" s="1" t="str">
        <f>"9788024634272"</f>
        <v>9788024634272</v>
      </c>
      <c r="D456" s="1" t="str">
        <f>"9788024631912"</f>
        <v>9788024631912</v>
      </c>
      <c r="E456" s="2" t="s">
        <v>2349</v>
      </c>
      <c r="F456" s="2" t="s">
        <v>2350</v>
      </c>
      <c r="G456" s="1" t="s">
        <v>24</v>
      </c>
      <c r="H456" s="1">
        <v>1</v>
      </c>
      <c r="J456" s="1" t="s">
        <v>2351</v>
      </c>
      <c r="K456" s="1" t="s">
        <v>43</v>
      </c>
      <c r="L456" s="1" t="s">
        <v>2352</v>
      </c>
      <c r="M456" s="1" t="s">
        <v>2353</v>
      </c>
      <c r="N456" s="1" t="s">
        <v>2354</v>
      </c>
      <c r="O456" s="1" t="s">
        <v>30</v>
      </c>
      <c r="P456" s="4">
        <v>27.52</v>
      </c>
      <c r="Q456" s="5">
        <f t="shared" si="21"/>
        <v>33.024000000000001</v>
      </c>
      <c r="R456" s="4">
        <v>34.4</v>
      </c>
      <c r="S456" s="5">
        <f t="shared" si="22"/>
        <v>41.279999999999994</v>
      </c>
      <c r="T456" s="4">
        <v>41.28</v>
      </c>
      <c r="U456" s="5">
        <f t="shared" si="23"/>
        <v>49.536000000000001</v>
      </c>
      <c r="V456" s="1" t="s">
        <v>31</v>
      </c>
    </row>
    <row r="457" spans="1:22" x14ac:dyDescent="0.2">
      <c r="A457" s="1">
        <v>5110756</v>
      </c>
      <c r="B457" s="1" t="s">
        <v>2355</v>
      </c>
      <c r="C457" s="1" t="str">
        <f>"9788024634661"</f>
        <v>9788024634661</v>
      </c>
      <c r="D457" s="1" t="str">
        <f>"9788024635200"</f>
        <v>9788024635200</v>
      </c>
      <c r="E457" s="2" t="s">
        <v>2356</v>
      </c>
      <c r="F457" s="2" t="s">
        <v>2350</v>
      </c>
      <c r="G457" s="1" t="s">
        <v>24</v>
      </c>
      <c r="H457" s="1">
        <v>1</v>
      </c>
      <c r="J457" s="1" t="s">
        <v>2357</v>
      </c>
      <c r="K457" s="1" t="s">
        <v>26</v>
      </c>
      <c r="L457" s="1" t="s">
        <v>2358</v>
      </c>
      <c r="M457" s="1" t="s">
        <v>2359</v>
      </c>
      <c r="N457" s="1" t="s">
        <v>2360</v>
      </c>
      <c r="O457" s="1" t="s">
        <v>39</v>
      </c>
      <c r="P457" s="4">
        <v>22.02</v>
      </c>
      <c r="Q457" s="5">
        <f t="shared" si="21"/>
        <v>26.423999999999999</v>
      </c>
      <c r="R457" s="4">
        <v>27.52</v>
      </c>
      <c r="S457" s="5">
        <f t="shared" si="22"/>
        <v>33.024000000000001</v>
      </c>
      <c r="T457" s="4">
        <v>33.03</v>
      </c>
      <c r="U457" s="5">
        <f t="shared" si="23"/>
        <v>39.636000000000003</v>
      </c>
      <c r="V457" s="1" t="s">
        <v>31</v>
      </c>
    </row>
    <row r="458" spans="1:22" x14ac:dyDescent="0.2">
      <c r="A458" s="1">
        <v>5110757</v>
      </c>
      <c r="B458" s="1" t="s">
        <v>2361</v>
      </c>
      <c r="C458" s="1" t="str">
        <f>"9788024636450"</f>
        <v>9788024636450</v>
      </c>
      <c r="D458" s="1" t="str">
        <f>"9788024636566"</f>
        <v>9788024636566</v>
      </c>
      <c r="E458" s="2" t="s">
        <v>2362</v>
      </c>
      <c r="F458" s="2" t="s">
        <v>2350</v>
      </c>
      <c r="G458" s="1" t="s">
        <v>24</v>
      </c>
      <c r="H458" s="1">
        <v>1</v>
      </c>
      <c r="J458" s="1" t="s">
        <v>2363</v>
      </c>
      <c r="K458" s="1" t="s">
        <v>43</v>
      </c>
      <c r="L458" s="1" t="s">
        <v>2364</v>
      </c>
      <c r="M458" s="1" t="s">
        <v>2365</v>
      </c>
      <c r="N458" s="1" t="s">
        <v>2366</v>
      </c>
      <c r="O458" s="1" t="s">
        <v>30</v>
      </c>
      <c r="P458" s="4">
        <v>13.76</v>
      </c>
      <c r="Q458" s="5">
        <f t="shared" si="21"/>
        <v>16.512</v>
      </c>
      <c r="R458" s="4">
        <v>17.2</v>
      </c>
      <c r="S458" s="5">
        <f t="shared" si="22"/>
        <v>20.639999999999997</v>
      </c>
      <c r="T458" s="4">
        <v>20.64</v>
      </c>
      <c r="U458" s="5">
        <f t="shared" si="23"/>
        <v>24.768000000000001</v>
      </c>
      <c r="V458" s="1" t="s">
        <v>31</v>
      </c>
    </row>
    <row r="459" spans="1:22" x14ac:dyDescent="0.2">
      <c r="A459" s="1">
        <v>5110758</v>
      </c>
      <c r="B459" s="1" t="s">
        <v>2367</v>
      </c>
      <c r="C459" s="1" t="str">
        <f>"9788024636689"</f>
        <v>9788024636689</v>
      </c>
      <c r="D459" s="1" t="str">
        <f>"9788024637181"</f>
        <v>9788024637181</v>
      </c>
      <c r="E459" s="2" t="s">
        <v>2362</v>
      </c>
      <c r="F459" s="2" t="s">
        <v>2350</v>
      </c>
      <c r="G459" s="1" t="s">
        <v>24</v>
      </c>
      <c r="H459" s="1">
        <v>1</v>
      </c>
      <c r="J459" s="1" t="s">
        <v>2368</v>
      </c>
      <c r="K459" s="1" t="s">
        <v>341</v>
      </c>
      <c r="L459" s="1" t="s">
        <v>2369</v>
      </c>
      <c r="M459" s="1" t="s">
        <v>2370</v>
      </c>
      <c r="N459" s="1" t="s">
        <v>2371</v>
      </c>
      <c r="O459" s="1" t="s">
        <v>39</v>
      </c>
      <c r="P459" s="4">
        <v>13.76</v>
      </c>
      <c r="Q459" s="5">
        <f t="shared" si="21"/>
        <v>16.512</v>
      </c>
      <c r="R459" s="4">
        <v>17.2</v>
      </c>
      <c r="S459" s="5">
        <f t="shared" si="22"/>
        <v>20.639999999999997</v>
      </c>
      <c r="T459" s="4">
        <v>20.64</v>
      </c>
      <c r="U459" s="5">
        <f t="shared" si="23"/>
        <v>24.768000000000001</v>
      </c>
      <c r="V459" s="1" t="s">
        <v>31</v>
      </c>
    </row>
    <row r="460" spans="1:22" x14ac:dyDescent="0.2">
      <c r="A460" s="1">
        <v>5110759</v>
      </c>
      <c r="B460" s="1" t="s">
        <v>2372</v>
      </c>
      <c r="C460" s="1" t="str">
        <f>"9788024635453"</f>
        <v>9788024635453</v>
      </c>
      <c r="D460" s="1" t="str">
        <f>"9788024635729"</f>
        <v>9788024635729</v>
      </c>
      <c r="E460" s="2" t="s">
        <v>2362</v>
      </c>
      <c r="F460" s="2" t="s">
        <v>2350</v>
      </c>
      <c r="G460" s="1" t="s">
        <v>24</v>
      </c>
      <c r="H460" s="1">
        <v>1</v>
      </c>
      <c r="J460" s="1" t="s">
        <v>2373</v>
      </c>
      <c r="K460" s="1" t="s">
        <v>1112</v>
      </c>
      <c r="L460" s="1" t="s">
        <v>2374</v>
      </c>
      <c r="M460" s="1" t="s">
        <v>2375</v>
      </c>
      <c r="N460" s="1" t="s">
        <v>2376</v>
      </c>
      <c r="O460" s="1" t="s">
        <v>39</v>
      </c>
      <c r="P460" s="4">
        <v>18.350000000000001</v>
      </c>
      <c r="Q460" s="5">
        <f t="shared" si="21"/>
        <v>22.02</v>
      </c>
      <c r="R460" s="4">
        <v>22.94</v>
      </c>
      <c r="S460" s="5">
        <f t="shared" si="22"/>
        <v>27.528000000000002</v>
      </c>
      <c r="T460" s="4">
        <v>27.52</v>
      </c>
      <c r="U460" s="5">
        <f t="shared" si="23"/>
        <v>33.024000000000001</v>
      </c>
      <c r="V460" s="1" t="s">
        <v>31</v>
      </c>
    </row>
    <row r="461" spans="1:22" x14ac:dyDescent="0.2">
      <c r="A461" s="1">
        <v>5110760</v>
      </c>
      <c r="B461" s="1" t="s">
        <v>2377</v>
      </c>
      <c r="C461" s="1" t="str">
        <f>"9788024634425"</f>
        <v>9788024634425</v>
      </c>
      <c r="D461" s="1" t="str">
        <f>"9788024636900"</f>
        <v>9788024636900</v>
      </c>
      <c r="E461" s="2" t="s">
        <v>2294</v>
      </c>
      <c r="F461" s="2" t="s">
        <v>2350</v>
      </c>
      <c r="G461" s="1" t="s">
        <v>24</v>
      </c>
      <c r="H461" s="1">
        <v>1</v>
      </c>
      <c r="I461" s="1" t="s">
        <v>2378</v>
      </c>
      <c r="J461" s="1" t="s">
        <v>2379</v>
      </c>
      <c r="K461" s="1" t="s">
        <v>43</v>
      </c>
      <c r="L461" s="1" t="s">
        <v>2380</v>
      </c>
      <c r="M461" s="1" t="s">
        <v>2381</v>
      </c>
      <c r="N461" s="1" t="s">
        <v>2382</v>
      </c>
      <c r="O461" s="1" t="s">
        <v>39</v>
      </c>
      <c r="P461" s="4">
        <v>15.6</v>
      </c>
      <c r="Q461" s="5">
        <f t="shared" si="21"/>
        <v>18.72</v>
      </c>
      <c r="R461" s="4">
        <v>19.5</v>
      </c>
      <c r="S461" s="5">
        <f t="shared" si="22"/>
        <v>23.4</v>
      </c>
      <c r="T461" s="4">
        <v>23.39</v>
      </c>
      <c r="U461" s="5">
        <f t="shared" si="23"/>
        <v>28.068000000000001</v>
      </c>
      <c r="V461" s="1" t="s">
        <v>31</v>
      </c>
    </row>
    <row r="462" spans="1:22" x14ac:dyDescent="0.2">
      <c r="A462" s="1">
        <v>5110761</v>
      </c>
      <c r="B462" s="1" t="s">
        <v>2383</v>
      </c>
      <c r="C462" s="1" t="str">
        <f>"9788024633657"</f>
        <v>9788024633657</v>
      </c>
      <c r="D462" s="1" t="str">
        <f>"9788024634074"</f>
        <v>9788024634074</v>
      </c>
      <c r="E462" s="2" t="s">
        <v>2356</v>
      </c>
      <c r="F462" s="2" t="s">
        <v>2350</v>
      </c>
      <c r="G462" s="1" t="s">
        <v>24</v>
      </c>
      <c r="H462" s="1">
        <v>1</v>
      </c>
      <c r="I462" s="1" t="s">
        <v>1958</v>
      </c>
      <c r="J462" s="1" t="s">
        <v>2384</v>
      </c>
      <c r="K462" s="1" t="s">
        <v>2385</v>
      </c>
      <c r="O462" s="1" t="s">
        <v>767</v>
      </c>
      <c r="P462" s="4">
        <v>13.76</v>
      </c>
      <c r="Q462" s="5">
        <f t="shared" si="21"/>
        <v>16.512</v>
      </c>
      <c r="R462" s="4">
        <v>17.2</v>
      </c>
      <c r="S462" s="5">
        <f t="shared" si="22"/>
        <v>20.639999999999997</v>
      </c>
      <c r="T462" s="4">
        <v>20.64</v>
      </c>
      <c r="U462" s="5">
        <f t="shared" si="23"/>
        <v>24.768000000000001</v>
      </c>
      <c r="V462" s="1" t="s">
        <v>32</v>
      </c>
    </row>
    <row r="463" spans="1:22" x14ac:dyDescent="0.2">
      <c r="A463" s="1">
        <v>5113056</v>
      </c>
      <c r="B463" s="1" t="s">
        <v>2386</v>
      </c>
      <c r="C463" s="1" t="str">
        <f>"9788024635866"</f>
        <v>9788024635866</v>
      </c>
      <c r="D463" s="1" t="str">
        <f>"9788024636030"</f>
        <v>9788024636030</v>
      </c>
      <c r="E463" s="2" t="s">
        <v>2163</v>
      </c>
      <c r="F463" s="2" t="s">
        <v>2387</v>
      </c>
      <c r="G463" s="1" t="s">
        <v>24</v>
      </c>
      <c r="H463" s="1">
        <v>1</v>
      </c>
      <c r="J463" s="1" t="s">
        <v>2388</v>
      </c>
      <c r="K463" s="1" t="s">
        <v>284</v>
      </c>
      <c r="L463" s="1" t="s">
        <v>2389</v>
      </c>
      <c r="M463" s="1" t="s">
        <v>2390</v>
      </c>
      <c r="N463" s="1" t="s">
        <v>2391</v>
      </c>
      <c r="O463" s="1" t="s">
        <v>39</v>
      </c>
      <c r="P463" s="4">
        <v>13.76</v>
      </c>
      <c r="Q463" s="5">
        <f t="shared" si="21"/>
        <v>16.512</v>
      </c>
      <c r="R463" s="4">
        <v>17.2</v>
      </c>
      <c r="S463" s="5">
        <f t="shared" si="22"/>
        <v>20.639999999999997</v>
      </c>
      <c r="T463" s="4">
        <v>20.64</v>
      </c>
      <c r="U463" s="5">
        <f t="shared" si="23"/>
        <v>24.768000000000001</v>
      </c>
      <c r="V463" s="1" t="s">
        <v>31</v>
      </c>
    </row>
    <row r="464" spans="1:22" x14ac:dyDescent="0.2">
      <c r="A464" s="1">
        <v>5113057</v>
      </c>
      <c r="B464" s="1" t="s">
        <v>2392</v>
      </c>
      <c r="C464" s="1" t="str">
        <f>"9788024636160"</f>
        <v>9788024636160</v>
      </c>
      <c r="D464" s="1" t="str">
        <f>"9788024636306"</f>
        <v>9788024636306</v>
      </c>
      <c r="E464" s="2" t="s">
        <v>2393</v>
      </c>
      <c r="F464" s="2" t="s">
        <v>2387</v>
      </c>
      <c r="G464" s="1" t="s">
        <v>24</v>
      </c>
      <c r="H464" s="1">
        <v>1</v>
      </c>
      <c r="J464" s="1" t="s">
        <v>2394</v>
      </c>
      <c r="K464" s="1" t="s">
        <v>2395</v>
      </c>
      <c r="L464" s="1" t="s">
        <v>2396</v>
      </c>
      <c r="M464" s="1" t="s">
        <v>2397</v>
      </c>
      <c r="N464" s="1" t="s">
        <v>2398</v>
      </c>
      <c r="O464" s="1" t="s">
        <v>39</v>
      </c>
      <c r="P464" s="4">
        <v>13.76</v>
      </c>
      <c r="Q464" s="5">
        <f t="shared" si="21"/>
        <v>16.512</v>
      </c>
      <c r="R464" s="4">
        <v>17.2</v>
      </c>
      <c r="S464" s="5">
        <f t="shared" si="22"/>
        <v>20.639999999999997</v>
      </c>
      <c r="T464" s="4">
        <v>20.64</v>
      </c>
      <c r="U464" s="5">
        <f t="shared" si="23"/>
        <v>24.768000000000001</v>
      </c>
      <c r="V464" s="1" t="s">
        <v>31</v>
      </c>
    </row>
    <row r="465" spans="1:22" x14ac:dyDescent="0.2">
      <c r="A465" s="1">
        <v>5163293</v>
      </c>
      <c r="B465" s="1" t="s">
        <v>2399</v>
      </c>
      <c r="C465" s="1" t="str">
        <f>"9788024620855"</f>
        <v>9788024620855</v>
      </c>
      <c r="D465" s="1" t="str">
        <f>"9788024627649"</f>
        <v>9788024627649</v>
      </c>
      <c r="E465" s="2" t="s">
        <v>212</v>
      </c>
      <c r="F465" s="2" t="s">
        <v>2400</v>
      </c>
      <c r="G465" s="1" t="s">
        <v>24</v>
      </c>
      <c r="H465" s="1">
        <v>1</v>
      </c>
      <c r="J465" s="1" t="s">
        <v>2401</v>
      </c>
      <c r="K465" s="1" t="s">
        <v>2402</v>
      </c>
      <c r="L465" s="1" t="s">
        <v>2403</v>
      </c>
      <c r="M465" s="1" t="s">
        <v>2404</v>
      </c>
      <c r="N465" s="1" t="s">
        <v>2405</v>
      </c>
      <c r="O465" s="1" t="s">
        <v>39</v>
      </c>
      <c r="P465" s="4">
        <v>13.76</v>
      </c>
      <c r="Q465" s="5">
        <f t="shared" si="21"/>
        <v>16.512</v>
      </c>
      <c r="R465" s="4">
        <v>17.2</v>
      </c>
      <c r="S465" s="5">
        <f t="shared" si="22"/>
        <v>20.639999999999997</v>
      </c>
      <c r="T465" s="4">
        <v>20.64</v>
      </c>
      <c r="U465" s="5">
        <f t="shared" si="23"/>
        <v>24.768000000000001</v>
      </c>
      <c r="V465" s="1" t="s">
        <v>31</v>
      </c>
    </row>
    <row r="466" spans="1:22" x14ac:dyDescent="0.2">
      <c r="A466" s="1">
        <v>5163294</v>
      </c>
      <c r="B466" s="1" t="s">
        <v>2406</v>
      </c>
      <c r="C466" s="1" t="str">
        <f>"9788024628615"</f>
        <v>9788024628615</v>
      </c>
      <c r="D466" s="1" t="str">
        <f>"9788024629155"</f>
        <v>9788024629155</v>
      </c>
      <c r="E466" s="2" t="s">
        <v>2407</v>
      </c>
      <c r="F466" s="2" t="s">
        <v>2400</v>
      </c>
      <c r="G466" s="1" t="s">
        <v>24</v>
      </c>
      <c r="H466" s="1">
        <v>1</v>
      </c>
      <c r="I466" s="1" t="s">
        <v>2408</v>
      </c>
      <c r="J466" s="1" t="s">
        <v>2409</v>
      </c>
      <c r="K466" s="1" t="s">
        <v>150</v>
      </c>
      <c r="L466" s="1" t="s">
        <v>2410</v>
      </c>
      <c r="M466" s="1" t="s">
        <v>2411</v>
      </c>
      <c r="N466" s="1" t="s">
        <v>2412</v>
      </c>
      <c r="O466" s="1" t="s">
        <v>39</v>
      </c>
      <c r="P466" s="4">
        <v>14.68</v>
      </c>
      <c r="Q466" s="5">
        <f t="shared" si="21"/>
        <v>17.616</v>
      </c>
      <c r="R466" s="4">
        <v>18.350000000000001</v>
      </c>
      <c r="S466" s="5">
        <f t="shared" si="22"/>
        <v>22.02</v>
      </c>
      <c r="T466" s="4">
        <v>22.02</v>
      </c>
      <c r="U466" s="5">
        <f t="shared" si="23"/>
        <v>26.423999999999999</v>
      </c>
      <c r="V466" s="1" t="s">
        <v>31</v>
      </c>
    </row>
    <row r="467" spans="1:22" x14ac:dyDescent="0.2">
      <c r="A467" s="1">
        <v>5163295</v>
      </c>
      <c r="B467" s="1" t="s">
        <v>2413</v>
      </c>
      <c r="C467" s="1" t="str">
        <f>"9788024633084"</f>
        <v>9788024633084</v>
      </c>
      <c r="D467" s="1" t="str">
        <f>"9788024633534"</f>
        <v>9788024633534</v>
      </c>
      <c r="E467" s="2" t="s">
        <v>2414</v>
      </c>
      <c r="F467" s="2" t="s">
        <v>2400</v>
      </c>
      <c r="G467" s="1" t="s">
        <v>24</v>
      </c>
      <c r="H467" s="1">
        <v>1</v>
      </c>
      <c r="J467" s="1" t="s">
        <v>2415</v>
      </c>
      <c r="K467" s="1" t="s">
        <v>2416</v>
      </c>
      <c r="L467" s="1" t="s">
        <v>2417</v>
      </c>
      <c r="M467" s="1" t="s">
        <v>2418</v>
      </c>
      <c r="N467" s="1" t="s">
        <v>2419</v>
      </c>
      <c r="O467" s="1" t="s">
        <v>39</v>
      </c>
      <c r="P467" s="4">
        <v>15.6</v>
      </c>
      <c r="Q467" s="5">
        <f t="shared" si="21"/>
        <v>18.72</v>
      </c>
      <c r="R467" s="4">
        <v>19.5</v>
      </c>
      <c r="S467" s="5">
        <f t="shared" si="22"/>
        <v>23.4</v>
      </c>
      <c r="T467" s="4">
        <v>23.39</v>
      </c>
      <c r="U467" s="5">
        <f t="shared" si="23"/>
        <v>28.068000000000001</v>
      </c>
      <c r="V467" s="1" t="s">
        <v>31</v>
      </c>
    </row>
    <row r="468" spans="1:22" x14ac:dyDescent="0.2">
      <c r="A468" s="1">
        <v>5163296</v>
      </c>
      <c r="B468" s="1" t="s">
        <v>2420</v>
      </c>
      <c r="C468" s="1" t="str">
        <f>"9788024632346"</f>
        <v>9788024632346</v>
      </c>
      <c r="D468" s="1" t="str">
        <f>"9788024632520"</f>
        <v>9788024632520</v>
      </c>
      <c r="E468" s="2" t="s">
        <v>1695</v>
      </c>
      <c r="F468" s="2" t="s">
        <v>2400</v>
      </c>
      <c r="G468" s="1" t="s">
        <v>24</v>
      </c>
      <c r="H468" s="1">
        <v>1</v>
      </c>
      <c r="J468" s="1" t="s">
        <v>2421</v>
      </c>
      <c r="K468" s="1" t="s">
        <v>2422</v>
      </c>
      <c r="L468" s="1" t="s">
        <v>2423</v>
      </c>
      <c r="M468" s="1" t="s">
        <v>2424</v>
      </c>
      <c r="N468" s="1" t="s">
        <v>2425</v>
      </c>
      <c r="O468" s="1" t="s">
        <v>39</v>
      </c>
      <c r="P468" s="4">
        <v>20.18</v>
      </c>
      <c r="Q468" s="5">
        <f t="shared" si="21"/>
        <v>24.215999999999998</v>
      </c>
      <c r="R468" s="4">
        <v>25.23</v>
      </c>
      <c r="S468" s="5">
        <f t="shared" si="22"/>
        <v>30.276</v>
      </c>
      <c r="T468" s="4">
        <v>30.28</v>
      </c>
      <c r="U468" s="5">
        <f t="shared" si="23"/>
        <v>36.335999999999999</v>
      </c>
      <c r="V468" s="1" t="s">
        <v>31</v>
      </c>
    </row>
    <row r="469" spans="1:22" x14ac:dyDescent="0.2">
      <c r="A469" s="1">
        <v>5163297</v>
      </c>
      <c r="B469" s="1" t="s">
        <v>2426</v>
      </c>
      <c r="C469" s="1" t="str">
        <f>"9788024634234"</f>
        <v>9788024634234</v>
      </c>
      <c r="D469" s="1" t="str">
        <f>"9788024634241"</f>
        <v>9788024634241</v>
      </c>
      <c r="E469" s="2" t="s">
        <v>2349</v>
      </c>
      <c r="F469" s="2" t="s">
        <v>2400</v>
      </c>
      <c r="G469" s="1" t="s">
        <v>24</v>
      </c>
      <c r="H469" s="1">
        <v>1</v>
      </c>
      <c r="I469" s="1" t="s">
        <v>2427</v>
      </c>
      <c r="J469" s="1" t="s">
        <v>2428</v>
      </c>
      <c r="K469" s="1" t="s">
        <v>64</v>
      </c>
      <c r="M469" s="1" t="s">
        <v>722</v>
      </c>
      <c r="O469" s="1" t="s">
        <v>30</v>
      </c>
      <c r="P469" s="4">
        <v>19.27</v>
      </c>
      <c r="Q469" s="5">
        <f t="shared" si="21"/>
        <v>23.123999999999999</v>
      </c>
      <c r="R469" s="4">
        <v>24.08</v>
      </c>
      <c r="S469" s="5">
        <f t="shared" si="22"/>
        <v>28.895999999999997</v>
      </c>
      <c r="T469" s="4">
        <v>28.9</v>
      </c>
      <c r="U469" s="5">
        <f t="shared" si="23"/>
        <v>34.68</v>
      </c>
      <c r="V469" s="1" t="s">
        <v>31</v>
      </c>
    </row>
    <row r="470" spans="1:22" x14ac:dyDescent="0.2">
      <c r="A470" s="1">
        <v>5163298</v>
      </c>
      <c r="B470" s="1" t="s">
        <v>2429</v>
      </c>
      <c r="C470" s="1" t="str">
        <f>"9788024634258"</f>
        <v>9788024634258</v>
      </c>
      <c r="D470" s="1" t="str">
        <f>"9788024634265"</f>
        <v>9788024634265</v>
      </c>
      <c r="E470" s="2" t="s">
        <v>2349</v>
      </c>
      <c r="F470" s="2" t="s">
        <v>2400</v>
      </c>
      <c r="G470" s="1" t="s">
        <v>24</v>
      </c>
      <c r="H470" s="1">
        <v>1</v>
      </c>
      <c r="I470" s="1" t="s">
        <v>1958</v>
      </c>
      <c r="J470" s="1" t="s">
        <v>2430</v>
      </c>
      <c r="K470" s="1" t="s">
        <v>36</v>
      </c>
      <c r="L470" s="1" t="s">
        <v>2431</v>
      </c>
      <c r="M470" s="1" t="s">
        <v>2432</v>
      </c>
      <c r="N470" s="1" t="s">
        <v>2433</v>
      </c>
      <c r="O470" s="1" t="s">
        <v>39</v>
      </c>
      <c r="P470" s="4">
        <v>22.94</v>
      </c>
      <c r="Q470" s="5">
        <f t="shared" si="21"/>
        <v>27.528000000000002</v>
      </c>
      <c r="R470" s="4">
        <v>28.67</v>
      </c>
      <c r="S470" s="5">
        <f t="shared" si="22"/>
        <v>34.404000000000003</v>
      </c>
      <c r="T470" s="4">
        <v>34.4</v>
      </c>
      <c r="U470" s="5">
        <f t="shared" si="23"/>
        <v>41.279999999999994</v>
      </c>
      <c r="V470" s="1" t="s">
        <v>31</v>
      </c>
    </row>
    <row r="471" spans="1:22" x14ac:dyDescent="0.2">
      <c r="A471" s="1">
        <v>5163299</v>
      </c>
      <c r="B471" s="1" t="s">
        <v>2434</v>
      </c>
      <c r="C471" s="1" t="str">
        <f>"9788024635040"</f>
        <v>9788024635040</v>
      </c>
      <c r="D471" s="1" t="str">
        <f>"9788024635361"</f>
        <v>9788024635361</v>
      </c>
      <c r="E471" s="2" t="s">
        <v>2407</v>
      </c>
      <c r="F471" s="2" t="s">
        <v>2400</v>
      </c>
      <c r="G471" s="1" t="s">
        <v>24</v>
      </c>
      <c r="H471" s="1">
        <v>1</v>
      </c>
      <c r="J471" s="1" t="s">
        <v>2435</v>
      </c>
      <c r="K471" s="1" t="s">
        <v>124</v>
      </c>
      <c r="L471" s="1" t="s">
        <v>2436</v>
      </c>
      <c r="M471" s="1" t="s">
        <v>2437</v>
      </c>
      <c r="N471" s="1" t="s">
        <v>2438</v>
      </c>
      <c r="O471" s="1" t="s">
        <v>39</v>
      </c>
      <c r="P471" s="4">
        <v>13.76</v>
      </c>
      <c r="Q471" s="5">
        <f t="shared" si="21"/>
        <v>16.512</v>
      </c>
      <c r="R471" s="4">
        <v>17.2</v>
      </c>
      <c r="S471" s="5">
        <f t="shared" si="22"/>
        <v>20.639999999999997</v>
      </c>
      <c r="T471" s="4">
        <v>20.64</v>
      </c>
      <c r="U471" s="5">
        <f t="shared" si="23"/>
        <v>24.768000000000001</v>
      </c>
      <c r="V471" s="1" t="s">
        <v>31</v>
      </c>
    </row>
    <row r="472" spans="1:22" x14ac:dyDescent="0.2">
      <c r="A472" s="1">
        <v>5163300</v>
      </c>
      <c r="B472" s="1" t="s">
        <v>2439</v>
      </c>
      <c r="C472" s="1" t="str">
        <f>"9788024636139"</f>
        <v>9788024636139</v>
      </c>
      <c r="D472" s="1" t="str">
        <f>"9788024636313"</f>
        <v>9788024636313</v>
      </c>
      <c r="E472" s="2" t="s">
        <v>2356</v>
      </c>
      <c r="F472" s="2" t="s">
        <v>2400</v>
      </c>
      <c r="G472" s="1" t="s">
        <v>24</v>
      </c>
      <c r="H472" s="1">
        <v>1</v>
      </c>
      <c r="J472" s="1" t="s">
        <v>2440</v>
      </c>
      <c r="K472" s="1" t="s">
        <v>284</v>
      </c>
      <c r="L472" s="1" t="s">
        <v>2441</v>
      </c>
      <c r="M472" s="1" t="s">
        <v>2442</v>
      </c>
      <c r="N472" s="1" t="s">
        <v>2443</v>
      </c>
      <c r="O472" s="1" t="s">
        <v>39</v>
      </c>
      <c r="P472" s="4">
        <v>13.76</v>
      </c>
      <c r="Q472" s="5">
        <f t="shared" si="21"/>
        <v>16.512</v>
      </c>
      <c r="R472" s="4">
        <v>17.2</v>
      </c>
      <c r="S472" s="5">
        <f t="shared" si="22"/>
        <v>20.639999999999997</v>
      </c>
      <c r="T472" s="4">
        <v>20.64</v>
      </c>
      <c r="U472" s="5">
        <f t="shared" si="23"/>
        <v>24.768000000000001</v>
      </c>
      <c r="V472" s="1" t="s">
        <v>31</v>
      </c>
    </row>
    <row r="473" spans="1:22" x14ac:dyDescent="0.2">
      <c r="A473" s="1">
        <v>5163301</v>
      </c>
      <c r="B473" s="1" t="s">
        <v>2444</v>
      </c>
      <c r="C473" s="1" t="str">
        <f>"9788024636276"</f>
        <v>9788024636276</v>
      </c>
      <c r="D473" s="1" t="str">
        <f>"9788024636320"</f>
        <v>9788024636320</v>
      </c>
      <c r="E473" s="2" t="s">
        <v>2414</v>
      </c>
      <c r="F473" s="2" t="s">
        <v>2400</v>
      </c>
      <c r="G473" s="1" t="s">
        <v>24</v>
      </c>
      <c r="H473" s="1">
        <v>1</v>
      </c>
      <c r="J473" s="1" t="s">
        <v>2445</v>
      </c>
      <c r="K473" s="1" t="s">
        <v>1363</v>
      </c>
      <c r="L473" s="1" t="s">
        <v>2446</v>
      </c>
      <c r="M473" s="1" t="s">
        <v>2447</v>
      </c>
      <c r="N473" s="1" t="s">
        <v>2448</v>
      </c>
      <c r="O473" s="1" t="s">
        <v>39</v>
      </c>
      <c r="P473" s="4">
        <v>13.76</v>
      </c>
      <c r="Q473" s="5">
        <f t="shared" si="21"/>
        <v>16.512</v>
      </c>
      <c r="R473" s="4">
        <v>17.2</v>
      </c>
      <c r="S473" s="5">
        <f t="shared" si="22"/>
        <v>20.639999999999997</v>
      </c>
      <c r="T473" s="4">
        <v>20.64</v>
      </c>
      <c r="U473" s="5">
        <f t="shared" si="23"/>
        <v>24.768000000000001</v>
      </c>
      <c r="V473" s="1" t="s">
        <v>31</v>
      </c>
    </row>
    <row r="474" spans="1:22" x14ac:dyDescent="0.2">
      <c r="A474" s="1">
        <v>5163302</v>
      </c>
      <c r="B474" s="1" t="s">
        <v>2449</v>
      </c>
      <c r="C474" s="1" t="str">
        <f>"9788024636153"</f>
        <v>9788024636153</v>
      </c>
      <c r="D474" s="1" t="str">
        <f>"9788024636481"</f>
        <v>9788024636481</v>
      </c>
      <c r="E474" s="2" t="s">
        <v>2294</v>
      </c>
      <c r="F474" s="2" t="s">
        <v>2400</v>
      </c>
      <c r="G474" s="1" t="s">
        <v>24</v>
      </c>
      <c r="H474" s="1">
        <v>1</v>
      </c>
      <c r="J474" s="1" t="s">
        <v>2450</v>
      </c>
      <c r="K474" s="1" t="s">
        <v>111</v>
      </c>
      <c r="O474" s="1" t="s">
        <v>39</v>
      </c>
      <c r="P474" s="4">
        <v>16.510000000000002</v>
      </c>
      <c r="Q474" s="5">
        <f t="shared" si="21"/>
        <v>19.812000000000001</v>
      </c>
      <c r="R474" s="4">
        <v>20.64</v>
      </c>
      <c r="S474" s="5">
        <f t="shared" si="22"/>
        <v>24.768000000000001</v>
      </c>
      <c r="T474" s="4">
        <v>24.77</v>
      </c>
      <c r="U474" s="5">
        <f t="shared" si="23"/>
        <v>29.723999999999997</v>
      </c>
      <c r="V474" s="1" t="s">
        <v>31</v>
      </c>
    </row>
    <row r="475" spans="1:22" x14ac:dyDescent="0.2">
      <c r="A475" s="1">
        <v>5163303</v>
      </c>
      <c r="B475" s="1" t="s">
        <v>2451</v>
      </c>
      <c r="C475" s="1" t="str">
        <f>"9788024636726"</f>
        <v>9788024636726</v>
      </c>
      <c r="D475" s="1" t="str">
        <f>"9788024636962"</f>
        <v>9788024636962</v>
      </c>
      <c r="E475" s="2" t="s">
        <v>2414</v>
      </c>
      <c r="F475" s="2" t="s">
        <v>2400</v>
      </c>
      <c r="G475" s="1" t="s">
        <v>24</v>
      </c>
      <c r="H475" s="1">
        <v>1</v>
      </c>
      <c r="J475" s="1" t="s">
        <v>2452</v>
      </c>
      <c r="K475" s="1" t="s">
        <v>72</v>
      </c>
      <c r="O475" s="1" t="s">
        <v>30</v>
      </c>
      <c r="P475" s="4">
        <v>13.76</v>
      </c>
      <c r="Q475" s="5">
        <f t="shared" si="21"/>
        <v>16.512</v>
      </c>
      <c r="R475" s="4">
        <v>17.2</v>
      </c>
      <c r="S475" s="5">
        <f t="shared" si="22"/>
        <v>20.639999999999997</v>
      </c>
      <c r="T475" s="4">
        <v>20.64</v>
      </c>
      <c r="U475" s="5">
        <f t="shared" si="23"/>
        <v>24.768000000000001</v>
      </c>
      <c r="V475" s="1" t="s">
        <v>31</v>
      </c>
    </row>
    <row r="476" spans="1:22" x14ac:dyDescent="0.2">
      <c r="A476" s="1">
        <v>5163304</v>
      </c>
      <c r="B476" s="1" t="s">
        <v>2453</v>
      </c>
      <c r="C476" s="1" t="str">
        <f>"9788024636801"</f>
        <v>9788024636801</v>
      </c>
      <c r="D476" s="1" t="str">
        <f>"9788024636931"</f>
        <v>9788024636931</v>
      </c>
      <c r="E476" s="2" t="s">
        <v>2362</v>
      </c>
      <c r="F476" s="2" t="s">
        <v>2400</v>
      </c>
      <c r="G476" s="1" t="s">
        <v>24</v>
      </c>
      <c r="H476" s="1">
        <v>1</v>
      </c>
      <c r="J476" s="1" t="s">
        <v>2276</v>
      </c>
      <c r="K476" s="1" t="s">
        <v>111</v>
      </c>
      <c r="O476" s="1" t="s">
        <v>39</v>
      </c>
      <c r="P476" s="4">
        <v>19.27</v>
      </c>
      <c r="Q476" s="5">
        <f t="shared" si="21"/>
        <v>23.123999999999999</v>
      </c>
      <c r="R476" s="4">
        <v>24.08</v>
      </c>
      <c r="S476" s="5">
        <f t="shared" si="22"/>
        <v>28.895999999999997</v>
      </c>
      <c r="T476" s="4">
        <v>28.9</v>
      </c>
      <c r="U476" s="5">
        <f t="shared" si="23"/>
        <v>34.68</v>
      </c>
      <c r="V476" s="1" t="s">
        <v>31</v>
      </c>
    </row>
    <row r="477" spans="1:22" x14ac:dyDescent="0.2">
      <c r="A477" s="1">
        <v>5163305</v>
      </c>
      <c r="B477" s="1" t="s">
        <v>2454</v>
      </c>
      <c r="C477" s="1" t="str">
        <f>"9788024637518"</f>
        <v>9788024637518</v>
      </c>
      <c r="D477" s="1" t="str">
        <f>"9788024637594"</f>
        <v>9788024637594</v>
      </c>
      <c r="E477" s="2" t="s">
        <v>2393</v>
      </c>
      <c r="F477" s="2" t="s">
        <v>2400</v>
      </c>
      <c r="G477" s="1" t="s">
        <v>24</v>
      </c>
      <c r="H477" s="1">
        <v>1</v>
      </c>
      <c r="J477" s="1" t="s">
        <v>2455</v>
      </c>
      <c r="K477" s="1" t="s">
        <v>79</v>
      </c>
      <c r="O477" s="1" t="s">
        <v>39</v>
      </c>
      <c r="P477" s="4">
        <v>13.76</v>
      </c>
      <c r="Q477" s="5">
        <f t="shared" si="21"/>
        <v>16.512</v>
      </c>
      <c r="R477" s="4">
        <v>17.2</v>
      </c>
      <c r="S477" s="5">
        <f t="shared" si="22"/>
        <v>20.639999999999997</v>
      </c>
      <c r="T477" s="4">
        <v>20.64</v>
      </c>
      <c r="U477" s="5">
        <f t="shared" si="23"/>
        <v>24.768000000000001</v>
      </c>
      <c r="V477" s="1" t="s">
        <v>31</v>
      </c>
    </row>
    <row r="478" spans="1:22" x14ac:dyDescent="0.2">
      <c r="A478" s="1">
        <v>5163306</v>
      </c>
      <c r="B478" s="1" t="s">
        <v>2456</v>
      </c>
      <c r="C478" s="1" t="str">
        <f>"9788024635491"</f>
        <v>9788024635491</v>
      </c>
      <c r="D478" s="1" t="str">
        <f>"9788024637532"</f>
        <v>9788024637532</v>
      </c>
      <c r="E478" s="2" t="s">
        <v>2393</v>
      </c>
      <c r="F478" s="2" t="s">
        <v>2400</v>
      </c>
      <c r="G478" s="1" t="s">
        <v>24</v>
      </c>
      <c r="H478" s="1">
        <v>1</v>
      </c>
      <c r="J478" s="1" t="s">
        <v>2457</v>
      </c>
      <c r="K478" s="1" t="s">
        <v>242</v>
      </c>
      <c r="O478" s="1" t="s">
        <v>39</v>
      </c>
      <c r="P478" s="4">
        <v>16.510000000000002</v>
      </c>
      <c r="Q478" s="5">
        <f t="shared" si="21"/>
        <v>19.812000000000001</v>
      </c>
      <c r="R478" s="4">
        <v>20.64</v>
      </c>
      <c r="S478" s="5">
        <f t="shared" si="22"/>
        <v>24.768000000000001</v>
      </c>
      <c r="T478" s="4">
        <v>24.77</v>
      </c>
      <c r="U478" s="5">
        <f t="shared" si="23"/>
        <v>29.723999999999997</v>
      </c>
      <c r="V478" s="1" t="s">
        <v>31</v>
      </c>
    </row>
    <row r="479" spans="1:22" x14ac:dyDescent="0.2">
      <c r="A479" s="1">
        <v>5163307</v>
      </c>
      <c r="B479" s="1" t="s">
        <v>2458</v>
      </c>
      <c r="C479" s="1" t="str">
        <f>"9788024637815"</f>
        <v>9788024637815</v>
      </c>
      <c r="D479" s="1" t="str">
        <f>"9788024637822"</f>
        <v>9788024637822</v>
      </c>
      <c r="E479" s="2" t="s">
        <v>2407</v>
      </c>
      <c r="F479" s="2" t="s">
        <v>2400</v>
      </c>
      <c r="G479" s="1" t="s">
        <v>24</v>
      </c>
      <c r="H479" s="1">
        <v>1</v>
      </c>
      <c r="J479" s="1" t="s">
        <v>2459</v>
      </c>
      <c r="K479" s="1" t="s">
        <v>111</v>
      </c>
      <c r="O479" s="1" t="s">
        <v>39</v>
      </c>
      <c r="P479" s="4">
        <v>15.6</v>
      </c>
      <c r="Q479" s="5">
        <f t="shared" si="21"/>
        <v>18.72</v>
      </c>
      <c r="R479" s="4">
        <v>19.5</v>
      </c>
      <c r="S479" s="5">
        <f t="shared" si="22"/>
        <v>23.4</v>
      </c>
      <c r="T479" s="4">
        <v>23.39</v>
      </c>
      <c r="U479" s="5">
        <f t="shared" si="23"/>
        <v>28.068000000000001</v>
      </c>
      <c r="V479" s="1" t="s">
        <v>31</v>
      </c>
    </row>
    <row r="480" spans="1:22" x14ac:dyDescent="0.2">
      <c r="A480" s="1">
        <v>5205469</v>
      </c>
      <c r="B480" s="1" t="s">
        <v>2460</v>
      </c>
      <c r="C480" s="1" t="str">
        <f>"9788024625676"</f>
        <v>9788024625676</v>
      </c>
      <c r="D480" s="1" t="str">
        <f>"9788024625737"</f>
        <v>9788024625737</v>
      </c>
      <c r="E480" s="2" t="s">
        <v>2356</v>
      </c>
      <c r="F480" s="2" t="s">
        <v>2461</v>
      </c>
      <c r="G480" s="1" t="s">
        <v>24</v>
      </c>
      <c r="J480" s="1" t="s">
        <v>2462</v>
      </c>
      <c r="K480" s="1" t="s">
        <v>111</v>
      </c>
      <c r="L480" s="1" t="s">
        <v>2463</v>
      </c>
      <c r="M480" s="1" t="s">
        <v>2464</v>
      </c>
      <c r="N480" s="1" t="s">
        <v>2465</v>
      </c>
      <c r="O480" s="1" t="s">
        <v>39</v>
      </c>
      <c r="P480" s="4">
        <v>13.76</v>
      </c>
      <c r="Q480" s="5">
        <f t="shared" si="21"/>
        <v>16.512</v>
      </c>
      <c r="R480" s="4">
        <v>17.2</v>
      </c>
      <c r="S480" s="5">
        <f t="shared" si="22"/>
        <v>20.639999999999997</v>
      </c>
      <c r="T480" s="4">
        <v>20.64</v>
      </c>
      <c r="U480" s="5">
        <f t="shared" si="23"/>
        <v>24.768000000000001</v>
      </c>
      <c r="V480" s="1" t="s">
        <v>31</v>
      </c>
    </row>
    <row r="481" spans="1:22" x14ac:dyDescent="0.2">
      <c r="A481" s="1">
        <v>5205470</v>
      </c>
      <c r="B481" s="1" t="s">
        <v>2466</v>
      </c>
      <c r="C481" s="1" t="str">
        <f>"9788024627335"</f>
        <v>9788024627335</v>
      </c>
      <c r="D481" s="1" t="str">
        <f>"9788024627625"</f>
        <v>9788024627625</v>
      </c>
      <c r="E481" s="2" t="s">
        <v>2356</v>
      </c>
      <c r="F481" s="2" t="s">
        <v>2461</v>
      </c>
      <c r="G481" s="1" t="s">
        <v>24</v>
      </c>
      <c r="J481" s="1" t="s">
        <v>2467</v>
      </c>
      <c r="K481" s="1" t="s">
        <v>2468</v>
      </c>
      <c r="L481" s="1" t="s">
        <v>2469</v>
      </c>
      <c r="M481" s="1" t="s">
        <v>2470</v>
      </c>
      <c r="N481" s="1" t="s">
        <v>2471</v>
      </c>
      <c r="O481" s="1" t="s">
        <v>39</v>
      </c>
      <c r="P481" s="4">
        <v>16.510000000000002</v>
      </c>
      <c r="Q481" s="5">
        <f t="shared" si="21"/>
        <v>19.812000000000001</v>
      </c>
      <c r="R481" s="4">
        <v>20.64</v>
      </c>
      <c r="S481" s="5">
        <f t="shared" si="22"/>
        <v>24.768000000000001</v>
      </c>
      <c r="T481" s="4">
        <v>24.77</v>
      </c>
      <c r="U481" s="5">
        <f t="shared" si="23"/>
        <v>29.723999999999997</v>
      </c>
      <c r="V481" s="1" t="s">
        <v>31</v>
      </c>
    </row>
    <row r="482" spans="1:22" x14ac:dyDescent="0.2">
      <c r="A482" s="1">
        <v>5205471</v>
      </c>
      <c r="B482" s="1" t="s">
        <v>2472</v>
      </c>
      <c r="C482" s="1" t="str">
        <f>"9788024627984"</f>
        <v>9788024627984</v>
      </c>
      <c r="D482" s="1" t="str">
        <f>"9788024628080"</f>
        <v>9788024628080</v>
      </c>
      <c r="E482" s="2" t="s">
        <v>1005</v>
      </c>
      <c r="F482" s="2" t="s">
        <v>2461</v>
      </c>
      <c r="G482" s="1" t="s">
        <v>24</v>
      </c>
      <c r="J482" s="1" t="s">
        <v>49</v>
      </c>
      <c r="K482" s="1" t="s">
        <v>111</v>
      </c>
      <c r="L482" s="1" t="s">
        <v>2473</v>
      </c>
      <c r="M482" s="1" t="s">
        <v>2474</v>
      </c>
      <c r="N482" s="1" t="s">
        <v>2475</v>
      </c>
      <c r="O482" s="1" t="s">
        <v>39</v>
      </c>
      <c r="P482" s="4">
        <v>21.1</v>
      </c>
      <c r="Q482" s="5">
        <f t="shared" si="21"/>
        <v>25.32</v>
      </c>
      <c r="R482" s="4">
        <v>26.38</v>
      </c>
      <c r="S482" s="5">
        <f t="shared" si="22"/>
        <v>31.655999999999999</v>
      </c>
      <c r="T482" s="4">
        <v>31.65</v>
      </c>
      <c r="U482" s="5">
        <f t="shared" si="23"/>
        <v>37.979999999999997</v>
      </c>
      <c r="V482" s="1" t="s">
        <v>31</v>
      </c>
    </row>
    <row r="483" spans="1:22" x14ac:dyDescent="0.2">
      <c r="A483" s="1">
        <v>5205472</v>
      </c>
      <c r="B483" s="1" t="s">
        <v>2476</v>
      </c>
      <c r="C483" s="1" t="str">
        <f>"9788024631790"</f>
        <v>9788024631790</v>
      </c>
      <c r="D483" s="1" t="str">
        <f>"9788024631967"</f>
        <v>9788024631967</v>
      </c>
      <c r="E483" s="2" t="s">
        <v>2356</v>
      </c>
      <c r="F483" s="2" t="s">
        <v>2461</v>
      </c>
      <c r="G483" s="1" t="s">
        <v>24</v>
      </c>
      <c r="J483" s="1" t="s">
        <v>2477</v>
      </c>
      <c r="K483" s="1" t="s">
        <v>277</v>
      </c>
      <c r="L483" s="1" t="s">
        <v>2478</v>
      </c>
      <c r="M483" s="1" t="s">
        <v>2479</v>
      </c>
      <c r="N483" s="1" t="s">
        <v>2480</v>
      </c>
      <c r="O483" s="1" t="s">
        <v>39</v>
      </c>
      <c r="P483" s="4">
        <v>13.76</v>
      </c>
      <c r="Q483" s="5">
        <f t="shared" si="21"/>
        <v>16.512</v>
      </c>
      <c r="R483" s="4">
        <v>17.2</v>
      </c>
      <c r="S483" s="5">
        <f t="shared" si="22"/>
        <v>20.639999999999997</v>
      </c>
      <c r="T483" s="4">
        <v>20.64</v>
      </c>
      <c r="U483" s="5">
        <f t="shared" si="23"/>
        <v>24.768000000000001</v>
      </c>
      <c r="V483" s="1" t="s">
        <v>31</v>
      </c>
    </row>
    <row r="484" spans="1:22" x14ac:dyDescent="0.2">
      <c r="A484" s="1">
        <v>5205473</v>
      </c>
      <c r="B484" s="1" t="s">
        <v>2481</v>
      </c>
      <c r="C484" s="1" t="str">
        <f>"9788024631776"</f>
        <v>9788024631776</v>
      </c>
      <c r="D484" s="1" t="str">
        <f>"9788024631974"</f>
        <v>9788024631974</v>
      </c>
      <c r="E484" s="2" t="s">
        <v>2356</v>
      </c>
      <c r="F484" s="2" t="s">
        <v>2461</v>
      </c>
      <c r="G484" s="1" t="s">
        <v>24</v>
      </c>
      <c r="J484" s="1" t="s">
        <v>2482</v>
      </c>
      <c r="K484" s="1" t="s">
        <v>111</v>
      </c>
      <c r="L484" s="1" t="s">
        <v>2483</v>
      </c>
      <c r="M484" s="1" t="s">
        <v>2464</v>
      </c>
      <c r="N484" s="1" t="s">
        <v>2484</v>
      </c>
      <c r="O484" s="1" t="s">
        <v>39</v>
      </c>
      <c r="P484" s="4">
        <v>14.68</v>
      </c>
      <c r="Q484" s="5">
        <f t="shared" si="21"/>
        <v>17.616</v>
      </c>
      <c r="R484" s="4">
        <v>18.350000000000001</v>
      </c>
      <c r="S484" s="5">
        <f t="shared" si="22"/>
        <v>22.02</v>
      </c>
      <c r="T484" s="4">
        <v>22.02</v>
      </c>
      <c r="U484" s="5">
        <f t="shared" si="23"/>
        <v>26.423999999999999</v>
      </c>
      <c r="V484" s="1" t="s">
        <v>31</v>
      </c>
    </row>
    <row r="485" spans="1:22" x14ac:dyDescent="0.2">
      <c r="A485" s="1">
        <v>5205474</v>
      </c>
      <c r="B485" s="1" t="s">
        <v>2485</v>
      </c>
      <c r="C485" s="1" t="str">
        <f>"9788024632278"</f>
        <v>9788024632278</v>
      </c>
      <c r="D485" s="1" t="str">
        <f>"9788024632452"</f>
        <v>9788024632452</v>
      </c>
      <c r="E485" s="2" t="s">
        <v>2356</v>
      </c>
      <c r="F485" s="2" t="s">
        <v>2461</v>
      </c>
      <c r="G485" s="1" t="s">
        <v>24</v>
      </c>
      <c r="J485" s="1" t="s">
        <v>2486</v>
      </c>
      <c r="K485" s="1" t="s">
        <v>1363</v>
      </c>
      <c r="L485" s="1" t="s">
        <v>2487</v>
      </c>
      <c r="M485" s="1" t="s">
        <v>2488</v>
      </c>
      <c r="N485" s="1" t="s">
        <v>2489</v>
      </c>
      <c r="O485" s="1" t="s">
        <v>39</v>
      </c>
      <c r="P485" s="4">
        <v>13.76</v>
      </c>
      <c r="Q485" s="5">
        <f t="shared" si="21"/>
        <v>16.512</v>
      </c>
      <c r="R485" s="4">
        <v>17.2</v>
      </c>
      <c r="S485" s="5">
        <f t="shared" si="22"/>
        <v>20.639999999999997</v>
      </c>
      <c r="T485" s="4">
        <v>20.64</v>
      </c>
      <c r="U485" s="5">
        <f t="shared" si="23"/>
        <v>24.768000000000001</v>
      </c>
      <c r="V485" s="1" t="s">
        <v>31</v>
      </c>
    </row>
    <row r="486" spans="1:22" x14ac:dyDescent="0.2">
      <c r="A486" s="1">
        <v>5205475</v>
      </c>
      <c r="B486" s="1" t="s">
        <v>2490</v>
      </c>
      <c r="C486" s="1" t="str">
        <f>"9788024622675"</f>
        <v>9788024622675</v>
      </c>
      <c r="D486" s="1" t="str">
        <f>"9788024633206"</f>
        <v>9788024633206</v>
      </c>
      <c r="E486" s="2" t="s">
        <v>2356</v>
      </c>
      <c r="F486" s="2" t="s">
        <v>2461</v>
      </c>
      <c r="G486" s="1" t="s">
        <v>24</v>
      </c>
      <c r="J486" s="1" t="s">
        <v>2491</v>
      </c>
      <c r="K486" s="1" t="s">
        <v>79</v>
      </c>
      <c r="L486" s="1" t="s">
        <v>2492</v>
      </c>
      <c r="M486" s="1" t="s">
        <v>2493</v>
      </c>
      <c r="N486" s="1" t="s">
        <v>2494</v>
      </c>
      <c r="O486" s="1" t="s">
        <v>39</v>
      </c>
      <c r="P486" s="4">
        <v>13.76</v>
      </c>
      <c r="Q486" s="5">
        <f t="shared" si="21"/>
        <v>16.512</v>
      </c>
      <c r="R486" s="4">
        <v>17.2</v>
      </c>
      <c r="S486" s="5">
        <f t="shared" si="22"/>
        <v>20.639999999999997</v>
      </c>
      <c r="T486" s="4">
        <v>20.64</v>
      </c>
      <c r="U486" s="5">
        <f t="shared" si="23"/>
        <v>24.768000000000001</v>
      </c>
      <c r="V486" s="1" t="s">
        <v>31</v>
      </c>
    </row>
    <row r="487" spans="1:22" x14ac:dyDescent="0.2">
      <c r="A487" s="1">
        <v>5205476</v>
      </c>
      <c r="B487" s="1" t="s">
        <v>2495</v>
      </c>
      <c r="C487" s="1" t="str">
        <f>"9788024632841"</f>
        <v>9788024632841</v>
      </c>
      <c r="D487" s="1" t="str">
        <f>"9788024633237"</f>
        <v>9788024633237</v>
      </c>
      <c r="E487" s="2" t="s">
        <v>2356</v>
      </c>
      <c r="F487" s="2" t="s">
        <v>2461</v>
      </c>
      <c r="G487" s="1" t="s">
        <v>24</v>
      </c>
      <c r="J487" s="1" t="s">
        <v>2496</v>
      </c>
      <c r="K487" s="1" t="s">
        <v>150</v>
      </c>
      <c r="L487" s="1" t="s">
        <v>2497</v>
      </c>
      <c r="M487" s="1">
        <v>255</v>
      </c>
      <c r="N487" s="1" t="s">
        <v>2498</v>
      </c>
      <c r="O487" s="1" t="s">
        <v>39</v>
      </c>
      <c r="P487" s="4">
        <v>13.76</v>
      </c>
      <c r="Q487" s="5">
        <f t="shared" si="21"/>
        <v>16.512</v>
      </c>
      <c r="R487" s="4">
        <v>17.2</v>
      </c>
      <c r="S487" s="5">
        <f t="shared" si="22"/>
        <v>20.639999999999997</v>
      </c>
      <c r="T487" s="4">
        <v>20.64</v>
      </c>
      <c r="U487" s="5">
        <f t="shared" si="23"/>
        <v>24.768000000000001</v>
      </c>
      <c r="V487" s="1" t="s">
        <v>31</v>
      </c>
    </row>
    <row r="488" spans="1:22" x14ac:dyDescent="0.2">
      <c r="A488" s="1">
        <v>5205477</v>
      </c>
      <c r="B488" s="1" t="s">
        <v>2499</v>
      </c>
      <c r="C488" s="1" t="str">
        <f>"9788024634388"</f>
        <v>9788024634388</v>
      </c>
      <c r="D488" s="1" t="str">
        <f>"9788024634555"</f>
        <v>9788024634555</v>
      </c>
      <c r="E488" s="2" t="s">
        <v>2356</v>
      </c>
      <c r="F488" s="2" t="s">
        <v>2461</v>
      </c>
      <c r="G488" s="1" t="s">
        <v>24</v>
      </c>
      <c r="J488" s="1" t="s">
        <v>2500</v>
      </c>
      <c r="K488" s="1" t="s">
        <v>43</v>
      </c>
      <c r="L488" s="1" t="s">
        <v>2501</v>
      </c>
      <c r="M488" s="1" t="s">
        <v>686</v>
      </c>
      <c r="N488" s="1" t="s">
        <v>2502</v>
      </c>
      <c r="O488" s="1" t="s">
        <v>39</v>
      </c>
      <c r="P488" s="4">
        <v>13.76</v>
      </c>
      <c r="Q488" s="5">
        <f t="shared" si="21"/>
        <v>16.512</v>
      </c>
      <c r="R488" s="4">
        <v>17.2</v>
      </c>
      <c r="S488" s="5">
        <f t="shared" si="22"/>
        <v>20.639999999999997</v>
      </c>
      <c r="T488" s="4">
        <v>20.64</v>
      </c>
      <c r="U488" s="5">
        <f t="shared" si="23"/>
        <v>24.768000000000001</v>
      </c>
      <c r="V488" s="1" t="s">
        <v>31</v>
      </c>
    </row>
    <row r="489" spans="1:22" x14ac:dyDescent="0.2">
      <c r="A489" s="1">
        <v>5205478</v>
      </c>
      <c r="B489" s="1" t="s">
        <v>2503</v>
      </c>
      <c r="C489" s="1" t="str">
        <f>"9788024630977"</f>
        <v>9788024630977</v>
      </c>
      <c r="D489" s="1" t="str">
        <f>"9788024631899"</f>
        <v>9788024631899</v>
      </c>
      <c r="E489" s="2" t="s">
        <v>2356</v>
      </c>
      <c r="F489" s="2" t="s">
        <v>2461</v>
      </c>
      <c r="G489" s="1" t="s">
        <v>24</v>
      </c>
      <c r="J489" s="1" t="s">
        <v>2504</v>
      </c>
      <c r="K489" s="1" t="s">
        <v>833</v>
      </c>
      <c r="L489" s="1" t="s">
        <v>2505</v>
      </c>
      <c r="M489" s="1" t="s">
        <v>2506</v>
      </c>
      <c r="N489" s="1" t="s">
        <v>2507</v>
      </c>
      <c r="O489" s="1" t="s">
        <v>39</v>
      </c>
      <c r="P489" s="4">
        <v>13.76</v>
      </c>
      <c r="Q489" s="5">
        <f t="shared" si="21"/>
        <v>16.512</v>
      </c>
      <c r="R489" s="4">
        <v>17.2</v>
      </c>
      <c r="S489" s="5">
        <f t="shared" si="22"/>
        <v>20.639999999999997</v>
      </c>
      <c r="T489" s="4">
        <v>20.64</v>
      </c>
      <c r="U489" s="5">
        <f t="shared" si="23"/>
        <v>24.768000000000001</v>
      </c>
      <c r="V489" s="1" t="s">
        <v>31</v>
      </c>
    </row>
    <row r="490" spans="1:22" x14ac:dyDescent="0.2">
      <c r="A490" s="1">
        <v>5205479</v>
      </c>
      <c r="B490" s="1" t="s">
        <v>2508</v>
      </c>
      <c r="C490" s="1" t="str">
        <f>"9788024635002"</f>
        <v>9788024635002</v>
      </c>
      <c r="D490" s="1" t="str">
        <f>"9788024635224"</f>
        <v>9788024635224</v>
      </c>
      <c r="E490" s="2" t="s">
        <v>2356</v>
      </c>
      <c r="F490" s="2" t="s">
        <v>2461</v>
      </c>
      <c r="G490" s="1" t="s">
        <v>24</v>
      </c>
      <c r="J490" s="1" t="s">
        <v>2509</v>
      </c>
      <c r="K490" s="1" t="s">
        <v>277</v>
      </c>
      <c r="L490" s="1" t="s">
        <v>2510</v>
      </c>
      <c r="M490" s="1" t="s">
        <v>2511</v>
      </c>
      <c r="N490" s="1" t="s">
        <v>2512</v>
      </c>
      <c r="O490" s="1" t="s">
        <v>39</v>
      </c>
      <c r="P490" s="4">
        <v>18.350000000000001</v>
      </c>
      <c r="Q490" s="5">
        <f t="shared" si="21"/>
        <v>22.02</v>
      </c>
      <c r="R490" s="4">
        <v>22.94</v>
      </c>
      <c r="S490" s="5">
        <f t="shared" si="22"/>
        <v>27.528000000000002</v>
      </c>
      <c r="T490" s="4">
        <v>27.52</v>
      </c>
      <c r="U490" s="5">
        <f t="shared" si="23"/>
        <v>33.024000000000001</v>
      </c>
      <c r="V490" s="1" t="s">
        <v>31</v>
      </c>
    </row>
    <row r="491" spans="1:22" x14ac:dyDescent="0.2">
      <c r="A491" s="1">
        <v>5205480</v>
      </c>
      <c r="B491" s="1" t="s">
        <v>2513</v>
      </c>
      <c r="C491" s="1" t="str">
        <f>"9788024635149"</f>
        <v>9788024635149</v>
      </c>
      <c r="D491" s="1" t="str">
        <f>"9788024635286"</f>
        <v>9788024635286</v>
      </c>
      <c r="E491" s="2" t="s">
        <v>2356</v>
      </c>
      <c r="F491" s="2" t="s">
        <v>2461</v>
      </c>
      <c r="G491" s="1" t="s">
        <v>24</v>
      </c>
      <c r="J491" s="1" t="s">
        <v>2514</v>
      </c>
      <c r="K491" s="1" t="s">
        <v>138</v>
      </c>
      <c r="L491" s="1" t="s">
        <v>2515</v>
      </c>
      <c r="M491" s="1" t="s">
        <v>2516</v>
      </c>
      <c r="N491" s="1" t="s">
        <v>2517</v>
      </c>
      <c r="O491" s="1" t="s">
        <v>39</v>
      </c>
      <c r="P491" s="4">
        <v>21.1</v>
      </c>
      <c r="Q491" s="5">
        <f t="shared" si="21"/>
        <v>25.32</v>
      </c>
      <c r="R491" s="4">
        <v>26.38</v>
      </c>
      <c r="S491" s="5">
        <f t="shared" si="22"/>
        <v>31.655999999999999</v>
      </c>
      <c r="T491" s="4">
        <v>31.65</v>
      </c>
      <c r="U491" s="5">
        <f t="shared" si="23"/>
        <v>37.979999999999997</v>
      </c>
      <c r="V491" s="1" t="s">
        <v>31</v>
      </c>
    </row>
    <row r="492" spans="1:22" x14ac:dyDescent="0.2">
      <c r="A492" s="1">
        <v>5205481</v>
      </c>
      <c r="B492" s="1" t="s">
        <v>2518</v>
      </c>
      <c r="C492" s="1" t="str">
        <f>"9788024635330"</f>
        <v>9788024635330</v>
      </c>
      <c r="D492" s="1" t="str">
        <f>"9788024635385"</f>
        <v>9788024635385</v>
      </c>
      <c r="E492" s="2" t="s">
        <v>2356</v>
      </c>
      <c r="F492" s="2" t="s">
        <v>2461</v>
      </c>
      <c r="G492" s="1" t="s">
        <v>24</v>
      </c>
      <c r="J492" s="1" t="s">
        <v>21</v>
      </c>
      <c r="K492" s="1" t="s">
        <v>72</v>
      </c>
      <c r="L492" s="1" t="s">
        <v>2519</v>
      </c>
      <c r="M492" s="1">
        <v>868</v>
      </c>
      <c r="N492" s="1" t="s">
        <v>2520</v>
      </c>
      <c r="O492" s="1" t="s">
        <v>39</v>
      </c>
      <c r="P492" s="4">
        <v>13.76</v>
      </c>
      <c r="Q492" s="5">
        <f t="shared" si="21"/>
        <v>16.512</v>
      </c>
      <c r="R492" s="4">
        <v>17.2</v>
      </c>
      <c r="S492" s="5">
        <f t="shared" si="22"/>
        <v>20.639999999999997</v>
      </c>
      <c r="T492" s="4">
        <v>20.64</v>
      </c>
      <c r="U492" s="5">
        <f t="shared" si="23"/>
        <v>24.768000000000001</v>
      </c>
      <c r="V492" s="1" t="s">
        <v>31</v>
      </c>
    </row>
    <row r="493" spans="1:22" x14ac:dyDescent="0.2">
      <c r="A493" s="1">
        <v>5205482</v>
      </c>
      <c r="B493" s="1" t="s">
        <v>2521</v>
      </c>
      <c r="C493" s="1" t="str">
        <f>"9788024635880"</f>
        <v>9788024635880</v>
      </c>
      <c r="D493" s="1" t="str">
        <f>"9788024635989"</f>
        <v>9788024635989</v>
      </c>
      <c r="E493" s="2" t="s">
        <v>2356</v>
      </c>
      <c r="F493" s="2" t="s">
        <v>2461</v>
      </c>
      <c r="G493" s="1" t="s">
        <v>24</v>
      </c>
      <c r="J493" s="1" t="s">
        <v>2522</v>
      </c>
      <c r="K493" s="1" t="s">
        <v>341</v>
      </c>
      <c r="L493" s="1" t="s">
        <v>2523</v>
      </c>
      <c r="M493" s="1">
        <v>121</v>
      </c>
      <c r="N493" s="1" t="s">
        <v>2524</v>
      </c>
      <c r="O493" s="1" t="s">
        <v>30</v>
      </c>
      <c r="P493" s="4">
        <v>13.76</v>
      </c>
      <c r="Q493" s="5">
        <f t="shared" si="21"/>
        <v>16.512</v>
      </c>
      <c r="R493" s="4">
        <v>17.2</v>
      </c>
      <c r="S493" s="5">
        <f t="shared" si="22"/>
        <v>20.639999999999997</v>
      </c>
      <c r="T493" s="4">
        <v>20.64</v>
      </c>
      <c r="U493" s="5">
        <f t="shared" si="23"/>
        <v>24.768000000000001</v>
      </c>
      <c r="V493" s="1" t="s">
        <v>31</v>
      </c>
    </row>
    <row r="494" spans="1:22" x14ac:dyDescent="0.2">
      <c r="A494" s="1">
        <v>5205483</v>
      </c>
      <c r="B494" s="1" t="s">
        <v>2525</v>
      </c>
      <c r="C494" s="1" t="str">
        <f>"9788024636214"</f>
        <v>9788024636214</v>
      </c>
      <c r="D494" s="1" t="str">
        <f>"9788024636283"</f>
        <v>9788024636283</v>
      </c>
      <c r="E494" s="2" t="s">
        <v>2356</v>
      </c>
      <c r="F494" s="2" t="s">
        <v>2461</v>
      </c>
      <c r="G494" s="1" t="s">
        <v>24</v>
      </c>
      <c r="J494" s="1" t="s">
        <v>2526</v>
      </c>
      <c r="K494" s="1" t="s">
        <v>242</v>
      </c>
      <c r="L494" s="1" t="s">
        <v>2527</v>
      </c>
      <c r="M494" s="1" t="s">
        <v>244</v>
      </c>
      <c r="N494" s="1" t="s">
        <v>2528</v>
      </c>
      <c r="O494" s="1" t="s">
        <v>39</v>
      </c>
      <c r="P494" s="4">
        <v>13.76</v>
      </c>
      <c r="Q494" s="5">
        <f t="shared" si="21"/>
        <v>16.512</v>
      </c>
      <c r="R494" s="4">
        <v>17.2</v>
      </c>
      <c r="S494" s="5">
        <f t="shared" si="22"/>
        <v>20.639999999999997</v>
      </c>
      <c r="T494" s="4">
        <v>20.64</v>
      </c>
      <c r="U494" s="5">
        <f t="shared" si="23"/>
        <v>24.768000000000001</v>
      </c>
      <c r="V494" s="1" t="s">
        <v>31</v>
      </c>
    </row>
    <row r="495" spans="1:22" x14ac:dyDescent="0.2">
      <c r="A495" s="1">
        <v>5205484</v>
      </c>
      <c r="B495" s="1" t="s">
        <v>2529</v>
      </c>
      <c r="C495" s="1" t="str">
        <f>"9788024636122"</f>
        <v>9788024636122</v>
      </c>
      <c r="D495" s="1" t="str">
        <f>"9788024636337"</f>
        <v>9788024636337</v>
      </c>
      <c r="E495" s="2" t="s">
        <v>2356</v>
      </c>
      <c r="F495" s="2" t="s">
        <v>2461</v>
      </c>
      <c r="G495" s="1" t="s">
        <v>24</v>
      </c>
      <c r="J495" s="1" t="s">
        <v>2530</v>
      </c>
      <c r="K495" s="1" t="s">
        <v>277</v>
      </c>
      <c r="L495" s="1" t="s">
        <v>2531</v>
      </c>
      <c r="M495" s="1" t="s">
        <v>2532</v>
      </c>
      <c r="N495" s="1" t="s">
        <v>2533</v>
      </c>
      <c r="O495" s="1" t="s">
        <v>39</v>
      </c>
      <c r="P495" s="4">
        <v>13.76</v>
      </c>
      <c r="Q495" s="5">
        <f t="shared" si="21"/>
        <v>16.512</v>
      </c>
      <c r="R495" s="4">
        <v>17.2</v>
      </c>
      <c r="S495" s="5">
        <f t="shared" si="22"/>
        <v>20.639999999999997</v>
      </c>
      <c r="T495" s="4">
        <v>20.64</v>
      </c>
      <c r="U495" s="5">
        <f t="shared" si="23"/>
        <v>24.768000000000001</v>
      </c>
      <c r="V495" s="1" t="s">
        <v>31</v>
      </c>
    </row>
    <row r="496" spans="1:22" x14ac:dyDescent="0.2">
      <c r="A496" s="1">
        <v>5205485</v>
      </c>
      <c r="B496" s="1" t="s">
        <v>2534</v>
      </c>
      <c r="C496" s="1" t="str">
        <f>"9788024636375"</f>
        <v>9788024636375</v>
      </c>
      <c r="D496" s="1" t="str">
        <f>"9788024636511"</f>
        <v>9788024636511</v>
      </c>
      <c r="E496" s="2" t="s">
        <v>2356</v>
      </c>
      <c r="F496" s="2" t="s">
        <v>2461</v>
      </c>
      <c r="G496" s="1" t="s">
        <v>24</v>
      </c>
      <c r="J496" s="1" t="s">
        <v>2535</v>
      </c>
      <c r="K496" s="1" t="s">
        <v>260</v>
      </c>
      <c r="L496" s="1" t="s">
        <v>2536</v>
      </c>
      <c r="M496" s="1" t="s">
        <v>2537</v>
      </c>
      <c r="N496" s="1" t="s">
        <v>2538</v>
      </c>
      <c r="O496" s="1" t="s">
        <v>39</v>
      </c>
      <c r="P496" s="4">
        <v>13.76</v>
      </c>
      <c r="Q496" s="5">
        <f t="shared" si="21"/>
        <v>16.512</v>
      </c>
      <c r="R496" s="4">
        <v>17.2</v>
      </c>
      <c r="S496" s="5">
        <f t="shared" si="22"/>
        <v>20.639999999999997</v>
      </c>
      <c r="T496" s="4">
        <v>20.64</v>
      </c>
      <c r="U496" s="5">
        <f t="shared" si="23"/>
        <v>24.768000000000001</v>
      </c>
      <c r="V496" s="1" t="s">
        <v>31</v>
      </c>
    </row>
    <row r="497" spans="1:22" x14ac:dyDescent="0.2">
      <c r="A497" s="1">
        <v>5205486</v>
      </c>
      <c r="B497" s="1" t="s">
        <v>2539</v>
      </c>
      <c r="C497" s="1" t="str">
        <f>"9788024636252"</f>
        <v>9788024636252</v>
      </c>
      <c r="D497" s="1" t="str">
        <f>"9788024636542"</f>
        <v>9788024636542</v>
      </c>
      <c r="E497" s="2" t="s">
        <v>2356</v>
      </c>
      <c r="F497" s="2" t="s">
        <v>2461</v>
      </c>
      <c r="G497" s="1" t="s">
        <v>24</v>
      </c>
      <c r="J497" s="1" t="s">
        <v>2540</v>
      </c>
      <c r="K497" s="1" t="s">
        <v>399</v>
      </c>
      <c r="L497" s="1" t="s">
        <v>2541</v>
      </c>
      <c r="M497" s="1" t="s">
        <v>446</v>
      </c>
      <c r="N497" s="1" t="s">
        <v>2542</v>
      </c>
      <c r="O497" s="1" t="s">
        <v>39</v>
      </c>
      <c r="P497" s="4">
        <v>16.510000000000002</v>
      </c>
      <c r="Q497" s="5">
        <f t="shared" si="21"/>
        <v>19.812000000000001</v>
      </c>
      <c r="R497" s="4">
        <v>20.64</v>
      </c>
      <c r="S497" s="5">
        <f t="shared" si="22"/>
        <v>24.768000000000001</v>
      </c>
      <c r="T497" s="4">
        <v>24.77</v>
      </c>
      <c r="U497" s="5">
        <f t="shared" si="23"/>
        <v>29.723999999999997</v>
      </c>
      <c r="V497" s="1" t="s">
        <v>31</v>
      </c>
    </row>
    <row r="498" spans="1:22" x14ac:dyDescent="0.2">
      <c r="A498" s="1">
        <v>5205487</v>
      </c>
      <c r="B498" s="1" t="s">
        <v>2543</v>
      </c>
      <c r="C498" s="1" t="str">
        <f>"9788024636498"</f>
        <v>9788024636498</v>
      </c>
      <c r="D498" s="1" t="str">
        <f>"9788024636597"</f>
        <v>9788024636597</v>
      </c>
      <c r="E498" s="2" t="s">
        <v>2356</v>
      </c>
      <c r="F498" s="2" t="s">
        <v>2461</v>
      </c>
      <c r="G498" s="1" t="s">
        <v>24</v>
      </c>
      <c r="J498" s="1" t="s">
        <v>2544</v>
      </c>
      <c r="K498" s="1" t="s">
        <v>587</v>
      </c>
      <c r="L498" s="1" t="s">
        <v>2545</v>
      </c>
      <c r="M498" s="1" t="s">
        <v>2546</v>
      </c>
      <c r="N498" s="1" t="s">
        <v>2547</v>
      </c>
      <c r="O498" s="1" t="s">
        <v>39</v>
      </c>
      <c r="P498" s="4">
        <v>13.76</v>
      </c>
      <c r="Q498" s="5">
        <f t="shared" si="21"/>
        <v>16.512</v>
      </c>
      <c r="R498" s="4">
        <v>17.2</v>
      </c>
      <c r="S498" s="5">
        <f t="shared" si="22"/>
        <v>20.639999999999997</v>
      </c>
      <c r="T498" s="4">
        <v>20.64</v>
      </c>
      <c r="U498" s="5">
        <f t="shared" si="23"/>
        <v>24.768000000000001</v>
      </c>
      <c r="V498" s="1" t="s">
        <v>31</v>
      </c>
    </row>
    <row r="499" spans="1:22" x14ac:dyDescent="0.2">
      <c r="A499" s="1">
        <v>5205488</v>
      </c>
      <c r="B499" s="1" t="s">
        <v>2548</v>
      </c>
      <c r="C499" s="1" t="str">
        <f>"9788024636405"</f>
        <v>9788024636405</v>
      </c>
      <c r="D499" s="1" t="str">
        <f>"9788024636764"</f>
        <v>9788024636764</v>
      </c>
      <c r="E499" s="2" t="s">
        <v>2356</v>
      </c>
      <c r="F499" s="2" t="s">
        <v>2461</v>
      </c>
      <c r="G499" s="1" t="s">
        <v>24</v>
      </c>
      <c r="J499" s="1" t="s">
        <v>2549</v>
      </c>
      <c r="K499" s="1" t="s">
        <v>79</v>
      </c>
      <c r="L499" s="1" t="s">
        <v>2550</v>
      </c>
      <c r="M499" s="1" t="s">
        <v>1795</v>
      </c>
      <c r="N499" s="1" t="s">
        <v>2551</v>
      </c>
      <c r="O499" s="1" t="s">
        <v>39</v>
      </c>
      <c r="P499" s="4">
        <v>13.76</v>
      </c>
      <c r="Q499" s="5">
        <f t="shared" si="21"/>
        <v>16.512</v>
      </c>
      <c r="R499" s="4">
        <v>17.2</v>
      </c>
      <c r="S499" s="5">
        <f t="shared" si="22"/>
        <v>20.639999999999997</v>
      </c>
      <c r="T499" s="4">
        <v>20.64</v>
      </c>
      <c r="U499" s="5">
        <f t="shared" si="23"/>
        <v>24.768000000000001</v>
      </c>
      <c r="V499" s="1" t="s">
        <v>31</v>
      </c>
    </row>
    <row r="500" spans="1:22" x14ac:dyDescent="0.2">
      <c r="A500" s="1">
        <v>5205489</v>
      </c>
      <c r="B500" s="1" t="s">
        <v>2552</v>
      </c>
      <c r="C500" s="1" t="str">
        <f>"9788024636603"</f>
        <v>9788024636603</v>
      </c>
      <c r="D500" s="1" t="str">
        <f>"9788024636788"</f>
        <v>9788024636788</v>
      </c>
      <c r="E500" s="2" t="s">
        <v>2356</v>
      </c>
      <c r="F500" s="2" t="s">
        <v>2461</v>
      </c>
      <c r="G500" s="1" t="s">
        <v>24</v>
      </c>
      <c r="J500" s="1" t="s">
        <v>2553</v>
      </c>
      <c r="K500" s="1" t="s">
        <v>2554</v>
      </c>
      <c r="L500" s="1" t="s">
        <v>2555</v>
      </c>
      <c r="M500" s="1" t="s">
        <v>2556</v>
      </c>
      <c r="N500" s="1" t="s">
        <v>2557</v>
      </c>
      <c r="O500" s="1" t="s">
        <v>39</v>
      </c>
      <c r="P500" s="4">
        <v>14.68</v>
      </c>
      <c r="Q500" s="5">
        <f t="shared" si="21"/>
        <v>17.616</v>
      </c>
      <c r="R500" s="4">
        <v>18.350000000000001</v>
      </c>
      <c r="S500" s="5">
        <f t="shared" si="22"/>
        <v>22.02</v>
      </c>
      <c r="T500" s="4">
        <v>22.02</v>
      </c>
      <c r="U500" s="5">
        <f t="shared" si="23"/>
        <v>26.423999999999999</v>
      </c>
      <c r="V500" s="1" t="s">
        <v>31</v>
      </c>
    </row>
    <row r="501" spans="1:22" x14ac:dyDescent="0.2">
      <c r="A501" s="1">
        <v>5205490</v>
      </c>
      <c r="B501" s="1" t="s">
        <v>2558</v>
      </c>
      <c r="C501" s="1" t="str">
        <f>"9788024636757"</f>
        <v>9788024636757</v>
      </c>
      <c r="D501" s="1" t="str">
        <f>"9788024636948"</f>
        <v>9788024636948</v>
      </c>
      <c r="E501" s="2" t="s">
        <v>2356</v>
      </c>
      <c r="F501" s="2" t="s">
        <v>2461</v>
      </c>
      <c r="G501" s="1" t="s">
        <v>24</v>
      </c>
      <c r="J501" s="1" t="s">
        <v>2559</v>
      </c>
      <c r="K501" s="1" t="s">
        <v>79</v>
      </c>
      <c r="L501" s="1" t="s">
        <v>2560</v>
      </c>
      <c r="M501" s="1" t="s">
        <v>2209</v>
      </c>
      <c r="N501" s="1" t="s">
        <v>2561</v>
      </c>
      <c r="O501" s="1" t="s">
        <v>39</v>
      </c>
      <c r="P501" s="4">
        <v>13.76</v>
      </c>
      <c r="Q501" s="5">
        <f t="shared" si="21"/>
        <v>16.512</v>
      </c>
      <c r="R501" s="4">
        <v>17.2</v>
      </c>
      <c r="S501" s="5">
        <f t="shared" si="22"/>
        <v>20.639999999999997</v>
      </c>
      <c r="T501" s="4">
        <v>20.64</v>
      </c>
      <c r="U501" s="5">
        <f t="shared" si="23"/>
        <v>24.768000000000001</v>
      </c>
      <c r="V501" s="1" t="s">
        <v>31</v>
      </c>
    </row>
    <row r="502" spans="1:22" x14ac:dyDescent="0.2">
      <c r="A502" s="1">
        <v>5205491</v>
      </c>
      <c r="B502" s="1" t="s">
        <v>2562</v>
      </c>
      <c r="C502" s="1" t="str">
        <f>"9788024636917"</f>
        <v>9788024636917</v>
      </c>
      <c r="D502" s="1" t="str">
        <f>"9788024636979"</f>
        <v>9788024636979</v>
      </c>
      <c r="E502" s="2" t="s">
        <v>2356</v>
      </c>
      <c r="F502" s="2" t="s">
        <v>2461</v>
      </c>
      <c r="G502" s="1" t="s">
        <v>24</v>
      </c>
      <c r="J502" s="1" t="s">
        <v>2563</v>
      </c>
      <c r="K502" s="1" t="s">
        <v>43</v>
      </c>
      <c r="L502" s="1" t="s">
        <v>2564</v>
      </c>
      <c r="M502" s="1">
        <v>302</v>
      </c>
      <c r="N502" s="1" t="s">
        <v>2565</v>
      </c>
      <c r="O502" s="1" t="s">
        <v>39</v>
      </c>
      <c r="P502" s="4">
        <v>14.68</v>
      </c>
      <c r="Q502" s="5">
        <f t="shared" si="21"/>
        <v>17.616</v>
      </c>
      <c r="R502" s="4">
        <v>18.350000000000001</v>
      </c>
      <c r="S502" s="5">
        <f t="shared" si="22"/>
        <v>22.02</v>
      </c>
      <c r="T502" s="4">
        <v>22.02</v>
      </c>
      <c r="U502" s="5">
        <f t="shared" si="23"/>
        <v>26.423999999999999</v>
      </c>
      <c r="V502" s="1" t="s">
        <v>31</v>
      </c>
    </row>
    <row r="503" spans="1:22" x14ac:dyDescent="0.2">
      <c r="A503" s="1">
        <v>5205492</v>
      </c>
      <c r="B503" s="1" t="s">
        <v>2566</v>
      </c>
      <c r="C503" s="1" t="str">
        <f>"9788024637075"</f>
        <v>9788024637075</v>
      </c>
      <c r="D503" s="1" t="str">
        <f>"9788024637198"</f>
        <v>9788024637198</v>
      </c>
      <c r="E503" s="2" t="s">
        <v>2356</v>
      </c>
      <c r="F503" s="2" t="s">
        <v>2461</v>
      </c>
      <c r="G503" s="1" t="s">
        <v>24</v>
      </c>
      <c r="J503" s="1" t="s">
        <v>576</v>
      </c>
      <c r="K503" s="1" t="s">
        <v>43</v>
      </c>
      <c r="L503" s="1" t="s">
        <v>2567</v>
      </c>
      <c r="M503" s="1" t="s">
        <v>2568</v>
      </c>
      <c r="N503" s="1" t="s">
        <v>2569</v>
      </c>
      <c r="O503" s="1" t="s">
        <v>39</v>
      </c>
      <c r="P503" s="4">
        <v>13.76</v>
      </c>
      <c r="Q503" s="5">
        <f t="shared" si="21"/>
        <v>16.512</v>
      </c>
      <c r="R503" s="4">
        <v>17.2</v>
      </c>
      <c r="S503" s="5">
        <f t="shared" si="22"/>
        <v>20.639999999999997</v>
      </c>
      <c r="T503" s="4">
        <v>20.64</v>
      </c>
      <c r="U503" s="5">
        <f t="shared" si="23"/>
        <v>24.768000000000001</v>
      </c>
      <c r="V503" s="1" t="s">
        <v>31</v>
      </c>
    </row>
    <row r="504" spans="1:22" x14ac:dyDescent="0.2">
      <c r="A504" s="1">
        <v>5205493</v>
      </c>
      <c r="B504" s="1" t="s">
        <v>2570</v>
      </c>
      <c r="C504" s="1" t="str">
        <f>"9788024636733"</f>
        <v>9788024636733</v>
      </c>
      <c r="D504" s="1" t="str">
        <f>"9788024637204"</f>
        <v>9788024637204</v>
      </c>
      <c r="E504" s="2" t="s">
        <v>2356</v>
      </c>
      <c r="F504" s="2" t="s">
        <v>2461</v>
      </c>
      <c r="G504" s="1" t="s">
        <v>24</v>
      </c>
      <c r="J504" s="1" t="s">
        <v>2571</v>
      </c>
      <c r="K504" s="1" t="s">
        <v>79</v>
      </c>
      <c r="L504" s="1" t="s">
        <v>2572</v>
      </c>
      <c r="M504" s="1" t="s">
        <v>2573</v>
      </c>
      <c r="N504" s="1" t="s">
        <v>2574</v>
      </c>
      <c r="O504" s="1" t="s">
        <v>39</v>
      </c>
      <c r="P504" s="4">
        <v>17.43</v>
      </c>
      <c r="Q504" s="5">
        <f t="shared" si="21"/>
        <v>20.916</v>
      </c>
      <c r="R504" s="4">
        <v>21.79</v>
      </c>
      <c r="S504" s="5">
        <f t="shared" si="22"/>
        <v>26.148</v>
      </c>
      <c r="T504" s="4">
        <v>26.15</v>
      </c>
      <c r="U504" s="5">
        <f t="shared" si="23"/>
        <v>31.379999999999995</v>
      </c>
      <c r="V504" s="1" t="s">
        <v>31</v>
      </c>
    </row>
    <row r="505" spans="1:22" x14ac:dyDescent="0.2">
      <c r="A505" s="1">
        <v>5205494</v>
      </c>
      <c r="B505" s="1" t="s">
        <v>2575</v>
      </c>
      <c r="C505" s="1" t="str">
        <f>"9788024637488"</f>
        <v>9788024637488</v>
      </c>
      <c r="D505" s="1" t="str">
        <f>"9788024637570"</f>
        <v>9788024637570</v>
      </c>
      <c r="E505" s="2" t="s">
        <v>2356</v>
      </c>
      <c r="F505" s="2" t="s">
        <v>2461</v>
      </c>
      <c r="G505" s="1" t="s">
        <v>24</v>
      </c>
      <c r="J505" s="1" t="s">
        <v>757</v>
      </c>
      <c r="K505" s="1" t="s">
        <v>150</v>
      </c>
      <c r="L505" s="1" t="s">
        <v>2576</v>
      </c>
      <c r="M505" s="1" t="s">
        <v>2577</v>
      </c>
      <c r="N505" s="1" t="s">
        <v>2578</v>
      </c>
      <c r="O505" s="1" t="s">
        <v>39</v>
      </c>
      <c r="P505" s="4">
        <v>13.76</v>
      </c>
      <c r="Q505" s="5">
        <f t="shared" si="21"/>
        <v>16.512</v>
      </c>
      <c r="R505" s="4">
        <v>17.2</v>
      </c>
      <c r="S505" s="5">
        <f t="shared" si="22"/>
        <v>20.639999999999997</v>
      </c>
      <c r="T505" s="4">
        <v>20.64</v>
      </c>
      <c r="U505" s="5">
        <f t="shared" si="23"/>
        <v>24.768000000000001</v>
      </c>
      <c r="V505" s="1" t="s">
        <v>31</v>
      </c>
    </row>
    <row r="506" spans="1:22" x14ac:dyDescent="0.2">
      <c r="A506" s="1">
        <v>5205495</v>
      </c>
      <c r="B506" s="1" t="s">
        <v>2579</v>
      </c>
      <c r="C506" s="1" t="str">
        <f>"9788024637433"</f>
        <v>9788024637433</v>
      </c>
      <c r="D506" s="1" t="str">
        <f>"9788024637587"</f>
        <v>9788024637587</v>
      </c>
      <c r="E506" s="2" t="s">
        <v>2356</v>
      </c>
      <c r="F506" s="2" t="s">
        <v>2461</v>
      </c>
      <c r="G506" s="1" t="s">
        <v>24</v>
      </c>
      <c r="J506" s="1" t="s">
        <v>862</v>
      </c>
      <c r="K506" s="1" t="s">
        <v>809</v>
      </c>
      <c r="L506" s="1" t="s">
        <v>2580</v>
      </c>
      <c r="M506" s="1" t="s">
        <v>865</v>
      </c>
      <c r="N506" s="1" t="s">
        <v>866</v>
      </c>
      <c r="O506" s="1" t="s">
        <v>30</v>
      </c>
      <c r="P506" s="4">
        <v>13.76</v>
      </c>
      <c r="Q506" s="5">
        <f t="shared" si="21"/>
        <v>16.512</v>
      </c>
      <c r="R506" s="4">
        <v>17.2</v>
      </c>
      <c r="S506" s="5">
        <f t="shared" si="22"/>
        <v>20.639999999999997</v>
      </c>
      <c r="T506" s="4">
        <v>20.64</v>
      </c>
      <c r="U506" s="5">
        <f t="shared" si="23"/>
        <v>24.768000000000001</v>
      </c>
      <c r="V506" s="1" t="s">
        <v>31</v>
      </c>
    </row>
    <row r="507" spans="1:22" x14ac:dyDescent="0.2">
      <c r="A507" s="1">
        <v>5205496</v>
      </c>
      <c r="B507" s="1" t="s">
        <v>2581</v>
      </c>
      <c r="C507" s="1" t="str">
        <f>"9788024636658"</f>
        <v>9788024636658</v>
      </c>
      <c r="D507" s="1" t="str">
        <f>"9788024636832"</f>
        <v>9788024636832</v>
      </c>
      <c r="E507" s="2" t="s">
        <v>2356</v>
      </c>
      <c r="F507" s="2" t="s">
        <v>2461</v>
      </c>
      <c r="G507" s="1" t="s">
        <v>24</v>
      </c>
      <c r="J507" s="1" t="s">
        <v>2582</v>
      </c>
      <c r="K507" s="1" t="s">
        <v>2583</v>
      </c>
      <c r="L507" s="1" t="s">
        <v>2584</v>
      </c>
      <c r="M507" s="1" t="s">
        <v>2585</v>
      </c>
      <c r="N507" s="1" t="s">
        <v>2586</v>
      </c>
      <c r="O507" s="1" t="s">
        <v>39</v>
      </c>
      <c r="P507" s="4">
        <v>13.76</v>
      </c>
      <c r="Q507" s="5">
        <f t="shared" si="21"/>
        <v>16.512</v>
      </c>
      <c r="R507" s="4">
        <v>17.2</v>
      </c>
      <c r="S507" s="5">
        <f t="shared" si="22"/>
        <v>20.639999999999997</v>
      </c>
      <c r="T507" s="4">
        <v>20.64</v>
      </c>
      <c r="U507" s="5">
        <f t="shared" si="23"/>
        <v>24.768000000000001</v>
      </c>
      <c r="V507" s="1" t="s">
        <v>31</v>
      </c>
    </row>
    <row r="508" spans="1:22" x14ac:dyDescent="0.2">
      <c r="A508" s="1">
        <v>5205497</v>
      </c>
      <c r="B508" s="1" t="s">
        <v>2587</v>
      </c>
      <c r="C508" s="1" t="str">
        <f>"9788024637501"</f>
        <v>9788024637501</v>
      </c>
      <c r="D508" s="1" t="str">
        <f>"9788024637600"</f>
        <v>9788024637600</v>
      </c>
      <c r="E508" s="2" t="s">
        <v>2407</v>
      </c>
      <c r="F508" s="2" t="s">
        <v>2461</v>
      </c>
      <c r="G508" s="1" t="s">
        <v>24</v>
      </c>
      <c r="J508" s="1" t="s">
        <v>2455</v>
      </c>
      <c r="K508" s="1" t="s">
        <v>79</v>
      </c>
      <c r="L508" s="1" t="s">
        <v>2588</v>
      </c>
      <c r="M508" s="1">
        <v>415</v>
      </c>
      <c r="N508" s="1" t="s">
        <v>2589</v>
      </c>
      <c r="O508" s="1" t="s">
        <v>39</v>
      </c>
      <c r="P508" s="4">
        <v>13.76</v>
      </c>
      <c r="Q508" s="5">
        <f t="shared" si="21"/>
        <v>16.512</v>
      </c>
      <c r="R508" s="4">
        <v>17.2</v>
      </c>
      <c r="S508" s="5">
        <f t="shared" si="22"/>
        <v>20.639999999999997</v>
      </c>
      <c r="T508" s="4">
        <v>20.64</v>
      </c>
      <c r="U508" s="5">
        <f t="shared" si="23"/>
        <v>24.768000000000001</v>
      </c>
      <c r="V508" s="1" t="s">
        <v>31</v>
      </c>
    </row>
    <row r="509" spans="1:22" x14ac:dyDescent="0.2">
      <c r="A509" s="1">
        <v>5205498</v>
      </c>
      <c r="B509" s="1" t="s">
        <v>2590</v>
      </c>
      <c r="C509" s="1" t="str">
        <f>"9788024636436"</f>
        <v>9788024636436</v>
      </c>
      <c r="D509" s="1" t="str">
        <f>"9788024637839"</f>
        <v>9788024637839</v>
      </c>
      <c r="E509" s="2" t="s">
        <v>2356</v>
      </c>
      <c r="F509" s="2" t="s">
        <v>2461</v>
      </c>
      <c r="G509" s="1" t="s">
        <v>24</v>
      </c>
      <c r="J509" s="1" t="s">
        <v>1250</v>
      </c>
      <c r="K509" s="1" t="s">
        <v>72</v>
      </c>
      <c r="L509" s="1" t="s">
        <v>2591</v>
      </c>
      <c r="M509" s="1" t="s">
        <v>1190</v>
      </c>
      <c r="N509" s="1" t="s">
        <v>2592</v>
      </c>
      <c r="O509" s="1" t="s">
        <v>39</v>
      </c>
      <c r="P509" s="4">
        <v>13.76</v>
      </c>
      <c r="Q509" s="5">
        <f t="shared" si="21"/>
        <v>16.512</v>
      </c>
      <c r="R509" s="4">
        <v>17.2</v>
      </c>
      <c r="S509" s="5">
        <f t="shared" si="22"/>
        <v>20.639999999999997</v>
      </c>
      <c r="T509" s="4">
        <v>20.64</v>
      </c>
      <c r="U509" s="5">
        <f t="shared" si="23"/>
        <v>24.768000000000001</v>
      </c>
      <c r="V509" s="1" t="s">
        <v>31</v>
      </c>
    </row>
    <row r="510" spans="1:22" x14ac:dyDescent="0.2">
      <c r="A510" s="1">
        <v>5325580</v>
      </c>
      <c r="B510" s="1" t="s">
        <v>2593</v>
      </c>
      <c r="C510" s="1" t="str">
        <f>"9788024637525"</f>
        <v>9788024637525</v>
      </c>
      <c r="D510" s="1" t="str">
        <f>"9788024637693"</f>
        <v>9788024637693</v>
      </c>
      <c r="E510" s="2" t="s">
        <v>2407</v>
      </c>
      <c r="F510" s="2" t="s">
        <v>2594</v>
      </c>
      <c r="G510" s="1" t="s">
        <v>24</v>
      </c>
      <c r="J510" s="1" t="s">
        <v>2595</v>
      </c>
      <c r="K510" s="1" t="s">
        <v>359</v>
      </c>
      <c r="L510" s="1" t="s">
        <v>2596</v>
      </c>
      <c r="M510" s="1" t="s">
        <v>2597</v>
      </c>
      <c r="N510" s="1" t="s">
        <v>2598</v>
      </c>
      <c r="O510" s="1" t="s">
        <v>39</v>
      </c>
      <c r="P510" s="4">
        <v>15.6</v>
      </c>
      <c r="Q510" s="5">
        <f t="shared" si="21"/>
        <v>18.72</v>
      </c>
      <c r="R510" s="4">
        <v>19.5</v>
      </c>
      <c r="S510" s="5">
        <f t="shared" si="22"/>
        <v>23.4</v>
      </c>
      <c r="T510" s="4">
        <v>23.39</v>
      </c>
      <c r="U510" s="5">
        <f t="shared" si="23"/>
        <v>28.068000000000001</v>
      </c>
      <c r="V510" s="1" t="s">
        <v>31</v>
      </c>
    </row>
    <row r="511" spans="1:22" x14ac:dyDescent="0.2">
      <c r="A511" s="1">
        <v>5325764</v>
      </c>
      <c r="B511" s="1" t="s">
        <v>2599</v>
      </c>
      <c r="C511" s="1" t="str">
        <f>"9788024632117"</f>
        <v>9788024632117</v>
      </c>
      <c r="D511" s="1" t="str">
        <f>"9788024633046"</f>
        <v>9788024633046</v>
      </c>
      <c r="E511" s="2" t="s">
        <v>1068</v>
      </c>
      <c r="F511" s="2" t="s">
        <v>2594</v>
      </c>
      <c r="G511" s="1" t="s">
        <v>24</v>
      </c>
      <c r="J511" s="1" t="s">
        <v>2600</v>
      </c>
      <c r="K511" s="1" t="s">
        <v>79</v>
      </c>
      <c r="L511" s="1" t="s">
        <v>2601</v>
      </c>
      <c r="M511" s="1" t="s">
        <v>2602</v>
      </c>
      <c r="N511" s="1" t="s">
        <v>2603</v>
      </c>
      <c r="O511" s="1" t="s">
        <v>767</v>
      </c>
      <c r="P511" s="4">
        <v>13.76</v>
      </c>
      <c r="Q511" s="5">
        <f t="shared" si="21"/>
        <v>16.512</v>
      </c>
      <c r="R511" s="4">
        <v>17.2</v>
      </c>
      <c r="S511" s="5">
        <f t="shared" si="22"/>
        <v>20.639999999999997</v>
      </c>
      <c r="T511" s="4">
        <v>20.64</v>
      </c>
      <c r="U511" s="5">
        <f t="shared" si="23"/>
        <v>24.768000000000001</v>
      </c>
      <c r="V511" s="1" t="s">
        <v>31</v>
      </c>
    </row>
    <row r="512" spans="1:22" x14ac:dyDescent="0.2">
      <c r="A512" s="1">
        <v>5325765</v>
      </c>
      <c r="B512" s="1" t="s">
        <v>2604</v>
      </c>
      <c r="C512" s="1" t="str">
        <f>"9788024638096"</f>
        <v>9788024638096</v>
      </c>
      <c r="D512" s="1" t="str">
        <f>"9788024638195"</f>
        <v>9788024638195</v>
      </c>
      <c r="E512" s="2" t="s">
        <v>2605</v>
      </c>
      <c r="F512" s="2" t="s">
        <v>2594</v>
      </c>
      <c r="G512" s="1" t="s">
        <v>24</v>
      </c>
      <c r="J512" s="1" t="s">
        <v>2606</v>
      </c>
      <c r="K512" s="1" t="s">
        <v>587</v>
      </c>
      <c r="L512" s="1" t="s">
        <v>2607</v>
      </c>
      <c r="M512" s="1" t="s">
        <v>2608</v>
      </c>
      <c r="N512" s="1" t="s">
        <v>2609</v>
      </c>
      <c r="O512" s="1" t="s">
        <v>39</v>
      </c>
      <c r="P512" s="4">
        <v>13.76</v>
      </c>
      <c r="Q512" s="5">
        <f t="shared" si="21"/>
        <v>16.512</v>
      </c>
      <c r="R512" s="4">
        <v>17.2</v>
      </c>
      <c r="S512" s="5">
        <f t="shared" si="22"/>
        <v>20.639999999999997</v>
      </c>
      <c r="T512" s="4">
        <v>20.64</v>
      </c>
      <c r="U512" s="5">
        <f t="shared" si="23"/>
        <v>24.768000000000001</v>
      </c>
      <c r="V512" s="1" t="s">
        <v>31</v>
      </c>
    </row>
    <row r="513" spans="1:22" x14ac:dyDescent="0.2">
      <c r="A513" s="1">
        <v>5325766</v>
      </c>
      <c r="B513" s="1" t="s">
        <v>2610</v>
      </c>
      <c r="C513" s="1" t="str">
        <f>"9788024638270"</f>
        <v>9788024638270</v>
      </c>
      <c r="D513" s="1" t="str">
        <f>"9788024638584"</f>
        <v>9788024638584</v>
      </c>
      <c r="E513" s="2" t="s">
        <v>2611</v>
      </c>
      <c r="F513" s="2" t="s">
        <v>2594</v>
      </c>
      <c r="G513" s="1" t="s">
        <v>24</v>
      </c>
      <c r="H513" s="1">
        <v>2</v>
      </c>
      <c r="J513" s="1" t="s">
        <v>2612</v>
      </c>
      <c r="K513" s="1" t="s">
        <v>93</v>
      </c>
      <c r="L513" s="1" t="s">
        <v>2613</v>
      </c>
      <c r="M513" s="1">
        <v>578</v>
      </c>
      <c r="N513" s="1" t="s">
        <v>2614</v>
      </c>
      <c r="O513" s="1" t="s">
        <v>39</v>
      </c>
      <c r="P513" s="4">
        <v>13.76</v>
      </c>
      <c r="Q513" s="5">
        <f t="shared" si="21"/>
        <v>16.512</v>
      </c>
      <c r="R513" s="4">
        <v>17.2</v>
      </c>
      <c r="S513" s="5">
        <f t="shared" si="22"/>
        <v>20.639999999999997</v>
      </c>
      <c r="T513" s="4">
        <v>20.64</v>
      </c>
      <c r="U513" s="5">
        <f t="shared" si="23"/>
        <v>24.768000000000001</v>
      </c>
      <c r="V513" s="1" t="s">
        <v>31</v>
      </c>
    </row>
    <row r="514" spans="1:22" x14ac:dyDescent="0.2">
      <c r="A514" s="1">
        <v>5325767</v>
      </c>
      <c r="B514" s="1" t="s">
        <v>2615</v>
      </c>
      <c r="C514" s="1" t="str">
        <f>"9788024637464"</f>
        <v>9788024637464</v>
      </c>
      <c r="D514" s="1" t="str">
        <f>"9788024637709"</f>
        <v>9788024637709</v>
      </c>
      <c r="E514" s="2" t="s">
        <v>2616</v>
      </c>
      <c r="F514" s="2" t="s">
        <v>2594</v>
      </c>
      <c r="G514" s="1" t="s">
        <v>24</v>
      </c>
      <c r="J514" s="1" t="s">
        <v>2617</v>
      </c>
      <c r="K514" s="1" t="s">
        <v>248</v>
      </c>
      <c r="O514" s="1" t="s">
        <v>39</v>
      </c>
      <c r="P514" s="4">
        <v>13.76</v>
      </c>
      <c r="Q514" s="5">
        <f t="shared" si="21"/>
        <v>16.512</v>
      </c>
      <c r="R514" s="4">
        <v>17.2</v>
      </c>
      <c r="S514" s="5">
        <f t="shared" si="22"/>
        <v>20.639999999999997</v>
      </c>
      <c r="T514" s="4">
        <v>20.64</v>
      </c>
      <c r="U514" s="5">
        <f t="shared" si="23"/>
        <v>24.768000000000001</v>
      </c>
      <c r="V514" s="1" t="s">
        <v>32</v>
      </c>
    </row>
    <row r="515" spans="1:22" x14ac:dyDescent="0.2">
      <c r="A515" s="1">
        <v>5325768</v>
      </c>
      <c r="B515" s="1" t="s">
        <v>2618</v>
      </c>
      <c r="C515" s="1" t="str">
        <f>"9788024637112"</f>
        <v>9788024637112</v>
      </c>
      <c r="D515" s="1" t="str">
        <f>"9788024637372"</f>
        <v>9788024637372</v>
      </c>
      <c r="E515" s="2" t="s">
        <v>2616</v>
      </c>
      <c r="F515" s="2" t="s">
        <v>2594</v>
      </c>
      <c r="G515" s="1" t="s">
        <v>24</v>
      </c>
      <c r="J515" s="1" t="s">
        <v>2619</v>
      </c>
      <c r="K515" s="1" t="s">
        <v>1437</v>
      </c>
      <c r="L515" s="1" t="s">
        <v>2620</v>
      </c>
      <c r="M515" s="1" t="s">
        <v>2621</v>
      </c>
      <c r="N515" s="1" t="s">
        <v>2622</v>
      </c>
      <c r="O515" s="1" t="s">
        <v>39</v>
      </c>
      <c r="P515" s="4">
        <v>18.350000000000001</v>
      </c>
      <c r="Q515" s="5">
        <f t="shared" ref="Q515:Q578" si="24">P515*1.2</f>
        <v>22.02</v>
      </c>
      <c r="R515" s="4">
        <v>22.94</v>
      </c>
      <c r="S515" s="5">
        <f t="shared" ref="S515:S578" si="25">R515*1.2</f>
        <v>27.528000000000002</v>
      </c>
      <c r="T515" s="4">
        <v>27.52</v>
      </c>
      <c r="U515" s="5">
        <f t="shared" ref="U515:U578" si="26">T515*1.2</f>
        <v>33.024000000000001</v>
      </c>
      <c r="V515" s="1" t="s">
        <v>31</v>
      </c>
    </row>
    <row r="516" spans="1:22" x14ac:dyDescent="0.2">
      <c r="A516" s="1">
        <v>5325769</v>
      </c>
      <c r="B516" s="1" t="s">
        <v>2623</v>
      </c>
      <c r="C516" s="1" t="str">
        <f>"9788024636641"</f>
        <v>9788024636641</v>
      </c>
      <c r="D516" s="1" t="str">
        <f>"9788024636795"</f>
        <v>9788024636795</v>
      </c>
      <c r="E516" s="2" t="s">
        <v>2616</v>
      </c>
      <c r="F516" s="2" t="s">
        <v>2594</v>
      </c>
      <c r="G516" s="1" t="s">
        <v>24</v>
      </c>
      <c r="J516" s="1" t="s">
        <v>2624</v>
      </c>
      <c r="K516" s="1" t="s">
        <v>341</v>
      </c>
      <c r="L516" s="1" t="s">
        <v>2625</v>
      </c>
      <c r="M516" s="1" t="s">
        <v>2626</v>
      </c>
      <c r="N516" s="1" t="s">
        <v>2627</v>
      </c>
      <c r="O516" s="1" t="s">
        <v>39</v>
      </c>
      <c r="P516" s="4">
        <v>13.76</v>
      </c>
      <c r="Q516" s="5">
        <f t="shared" si="24"/>
        <v>16.512</v>
      </c>
      <c r="R516" s="4">
        <v>17.2</v>
      </c>
      <c r="S516" s="5">
        <f t="shared" si="25"/>
        <v>20.639999999999997</v>
      </c>
      <c r="T516" s="4">
        <v>20.64</v>
      </c>
      <c r="U516" s="5">
        <f t="shared" si="26"/>
        <v>24.768000000000001</v>
      </c>
      <c r="V516" s="1" t="s">
        <v>31</v>
      </c>
    </row>
    <row r="517" spans="1:22" x14ac:dyDescent="0.2">
      <c r="A517" s="1">
        <v>5325770</v>
      </c>
      <c r="B517" s="1" t="s">
        <v>2628</v>
      </c>
      <c r="C517" s="1" t="str">
        <f>"9788024638119"</f>
        <v>9788024638119</v>
      </c>
      <c r="D517" s="1" t="str">
        <f>"9788024638218"</f>
        <v>9788024638218</v>
      </c>
      <c r="E517" s="2" t="s">
        <v>2611</v>
      </c>
      <c r="F517" s="2" t="s">
        <v>2594</v>
      </c>
      <c r="G517" s="1" t="s">
        <v>24</v>
      </c>
      <c r="J517" s="1" t="s">
        <v>2629</v>
      </c>
      <c r="K517" s="1" t="s">
        <v>248</v>
      </c>
      <c r="O517" s="1" t="s">
        <v>39</v>
      </c>
      <c r="P517" s="4">
        <v>13.76</v>
      </c>
      <c r="Q517" s="5">
        <f t="shared" si="24"/>
        <v>16.512</v>
      </c>
      <c r="R517" s="4">
        <v>17.2</v>
      </c>
      <c r="S517" s="5">
        <f t="shared" si="25"/>
        <v>20.639999999999997</v>
      </c>
      <c r="T517" s="4">
        <v>20.64</v>
      </c>
      <c r="U517" s="5">
        <f t="shared" si="26"/>
        <v>24.768000000000001</v>
      </c>
      <c r="V517" s="1" t="s">
        <v>32</v>
      </c>
    </row>
    <row r="518" spans="1:22" x14ac:dyDescent="0.2">
      <c r="A518" s="1">
        <v>5325771</v>
      </c>
      <c r="B518" s="1" t="s">
        <v>2630</v>
      </c>
      <c r="C518" s="1" t="str">
        <f>"9788024638287"</f>
        <v>9788024638287</v>
      </c>
      <c r="D518" s="1" t="str">
        <f>"9788024638294"</f>
        <v>9788024638294</v>
      </c>
      <c r="E518" s="2" t="s">
        <v>2611</v>
      </c>
      <c r="F518" s="2" t="s">
        <v>2594</v>
      </c>
      <c r="G518" s="1" t="s">
        <v>24</v>
      </c>
      <c r="J518" s="1" t="s">
        <v>2631</v>
      </c>
      <c r="K518" s="1" t="s">
        <v>290</v>
      </c>
      <c r="L518" s="1" t="s">
        <v>2632</v>
      </c>
      <c r="M518" s="1">
        <v>613</v>
      </c>
      <c r="N518" s="1" t="s">
        <v>2633</v>
      </c>
      <c r="O518" s="1" t="s">
        <v>39</v>
      </c>
      <c r="P518" s="4">
        <v>19.27</v>
      </c>
      <c r="Q518" s="5">
        <f t="shared" si="24"/>
        <v>23.123999999999999</v>
      </c>
      <c r="R518" s="4">
        <v>24.08</v>
      </c>
      <c r="S518" s="5">
        <f t="shared" si="25"/>
        <v>28.895999999999997</v>
      </c>
      <c r="T518" s="4">
        <v>28.9</v>
      </c>
      <c r="U518" s="5">
        <f t="shared" si="26"/>
        <v>34.68</v>
      </c>
      <c r="V518" s="1" t="s">
        <v>31</v>
      </c>
    </row>
    <row r="519" spans="1:22" x14ac:dyDescent="0.2">
      <c r="A519" s="1">
        <v>5325772</v>
      </c>
      <c r="B519" s="1" t="s">
        <v>2634</v>
      </c>
      <c r="C519" s="1" t="str">
        <f>"9788024635590"</f>
        <v>9788024635590</v>
      </c>
      <c r="D519" s="1" t="str">
        <f>"9788024635682"</f>
        <v>9788024635682</v>
      </c>
      <c r="E519" s="2" t="s">
        <v>2611</v>
      </c>
      <c r="F519" s="2" t="s">
        <v>2594</v>
      </c>
      <c r="G519" s="1" t="s">
        <v>24</v>
      </c>
      <c r="J519" s="1" t="s">
        <v>2635</v>
      </c>
      <c r="K519" s="1" t="s">
        <v>2636</v>
      </c>
      <c r="L519" s="1" t="s">
        <v>2637</v>
      </c>
      <c r="M519" s="1" t="s">
        <v>2638</v>
      </c>
      <c r="N519" s="1" t="s">
        <v>2639</v>
      </c>
      <c r="O519" s="1" t="s">
        <v>39</v>
      </c>
      <c r="P519" s="4">
        <v>17.43</v>
      </c>
      <c r="Q519" s="5">
        <f t="shared" si="24"/>
        <v>20.916</v>
      </c>
      <c r="R519" s="4">
        <v>21.79</v>
      </c>
      <c r="S519" s="5">
        <f t="shared" si="25"/>
        <v>26.148</v>
      </c>
      <c r="T519" s="4">
        <v>26.15</v>
      </c>
      <c r="U519" s="5">
        <f t="shared" si="26"/>
        <v>31.379999999999995</v>
      </c>
      <c r="V519" s="1" t="s">
        <v>31</v>
      </c>
    </row>
    <row r="520" spans="1:22" x14ac:dyDescent="0.2">
      <c r="A520" s="1">
        <v>5325773</v>
      </c>
      <c r="B520" s="1" t="s">
        <v>2640</v>
      </c>
      <c r="C520" s="1" t="str">
        <f>"9788024637457"</f>
        <v>9788024637457</v>
      </c>
      <c r="D520" s="1" t="str">
        <f>"9788024637648"</f>
        <v>9788024637648</v>
      </c>
      <c r="E520" s="2" t="s">
        <v>2605</v>
      </c>
      <c r="F520" s="2" t="s">
        <v>2594</v>
      </c>
      <c r="G520" s="1" t="s">
        <v>24</v>
      </c>
      <c r="J520" s="1" t="s">
        <v>2641</v>
      </c>
      <c r="K520" s="1" t="s">
        <v>2642</v>
      </c>
      <c r="L520" s="1" t="s">
        <v>2643</v>
      </c>
      <c r="M520" s="1" t="s">
        <v>446</v>
      </c>
      <c r="N520" s="1" t="s">
        <v>2644</v>
      </c>
      <c r="O520" s="1" t="s">
        <v>39</v>
      </c>
      <c r="P520" s="4">
        <v>13.76</v>
      </c>
      <c r="Q520" s="5">
        <f t="shared" si="24"/>
        <v>16.512</v>
      </c>
      <c r="R520" s="4">
        <v>17.2</v>
      </c>
      <c r="S520" s="5">
        <f t="shared" si="25"/>
        <v>20.639999999999997</v>
      </c>
      <c r="T520" s="4">
        <v>20.64</v>
      </c>
      <c r="U520" s="5">
        <f t="shared" si="26"/>
        <v>24.768000000000001</v>
      </c>
      <c r="V520" s="1" t="s">
        <v>31</v>
      </c>
    </row>
    <row r="521" spans="1:22" x14ac:dyDescent="0.2">
      <c r="A521" s="1">
        <v>5325775</v>
      </c>
      <c r="B521" s="1" t="s">
        <v>2645</v>
      </c>
      <c r="C521" s="1" t="str">
        <f>"9788024637105"</f>
        <v>9788024637105</v>
      </c>
      <c r="D521" s="1" t="str">
        <f>"9788024637761"</f>
        <v>9788024637761</v>
      </c>
      <c r="E521" s="2" t="s">
        <v>2616</v>
      </c>
      <c r="F521" s="2" t="s">
        <v>2594</v>
      </c>
      <c r="G521" s="1" t="s">
        <v>24</v>
      </c>
      <c r="J521" s="1" t="s">
        <v>2646</v>
      </c>
      <c r="K521" s="1" t="s">
        <v>79</v>
      </c>
      <c r="L521" s="1" t="s">
        <v>2647</v>
      </c>
      <c r="M521" s="1">
        <v>410</v>
      </c>
      <c r="N521" s="1" t="s">
        <v>2648</v>
      </c>
      <c r="O521" s="1" t="s">
        <v>39</v>
      </c>
      <c r="P521" s="4">
        <v>15.6</v>
      </c>
      <c r="Q521" s="5">
        <f t="shared" si="24"/>
        <v>18.72</v>
      </c>
      <c r="R521" s="4">
        <v>19.5</v>
      </c>
      <c r="S521" s="5">
        <f t="shared" si="25"/>
        <v>23.4</v>
      </c>
      <c r="T521" s="4">
        <v>23.39</v>
      </c>
      <c r="U521" s="5">
        <f t="shared" si="26"/>
        <v>28.068000000000001</v>
      </c>
      <c r="V521" s="1" t="s">
        <v>31</v>
      </c>
    </row>
    <row r="522" spans="1:22" x14ac:dyDescent="0.2">
      <c r="A522" s="1">
        <v>5325777</v>
      </c>
      <c r="B522" s="1" t="s">
        <v>2649</v>
      </c>
      <c r="C522" s="1" t="str">
        <f>"9788024634715"</f>
        <v>9788024634715</v>
      </c>
      <c r="D522" s="1" t="str">
        <f>"9788024635255"</f>
        <v>9788024635255</v>
      </c>
      <c r="E522" s="2" t="s">
        <v>2611</v>
      </c>
      <c r="F522" s="2" t="s">
        <v>2594</v>
      </c>
      <c r="G522" s="1" t="s">
        <v>24</v>
      </c>
      <c r="J522" s="1" t="s">
        <v>2650</v>
      </c>
      <c r="K522" s="1" t="s">
        <v>43</v>
      </c>
      <c r="L522" s="1" t="s">
        <v>2651</v>
      </c>
      <c r="M522" s="1" t="s">
        <v>2652</v>
      </c>
      <c r="N522" s="1" t="s">
        <v>2653</v>
      </c>
      <c r="O522" s="1" t="s">
        <v>39</v>
      </c>
      <c r="P522" s="4">
        <v>19.27</v>
      </c>
      <c r="Q522" s="5">
        <f t="shared" si="24"/>
        <v>23.123999999999999</v>
      </c>
      <c r="R522" s="4">
        <v>24.08</v>
      </c>
      <c r="S522" s="5">
        <f t="shared" si="25"/>
        <v>28.895999999999997</v>
      </c>
      <c r="T522" s="4">
        <v>28.9</v>
      </c>
      <c r="U522" s="5">
        <f t="shared" si="26"/>
        <v>34.68</v>
      </c>
      <c r="V522" s="1" t="s">
        <v>31</v>
      </c>
    </row>
    <row r="523" spans="1:22" x14ac:dyDescent="0.2">
      <c r="A523" s="1">
        <v>5325778</v>
      </c>
      <c r="B523" s="1" t="s">
        <v>2654</v>
      </c>
      <c r="C523" s="1" t="str">
        <f>"9788024635569"</f>
        <v>9788024635569</v>
      </c>
      <c r="D523" s="1" t="str">
        <f>"9788024635705"</f>
        <v>9788024635705</v>
      </c>
      <c r="E523" s="2" t="s">
        <v>2605</v>
      </c>
      <c r="F523" s="2" t="s">
        <v>2594</v>
      </c>
      <c r="G523" s="1" t="s">
        <v>24</v>
      </c>
      <c r="J523" s="1" t="s">
        <v>2655</v>
      </c>
      <c r="K523" s="1" t="s">
        <v>64</v>
      </c>
      <c r="L523" s="1" t="s">
        <v>2656</v>
      </c>
      <c r="M523" s="1" t="s">
        <v>2657</v>
      </c>
      <c r="N523" s="1" t="s">
        <v>2658</v>
      </c>
      <c r="O523" s="1" t="s">
        <v>30</v>
      </c>
      <c r="P523" s="4">
        <v>21.1</v>
      </c>
      <c r="Q523" s="5">
        <f t="shared" si="24"/>
        <v>25.32</v>
      </c>
      <c r="R523" s="4">
        <v>26.38</v>
      </c>
      <c r="S523" s="5">
        <f t="shared" si="25"/>
        <v>31.655999999999999</v>
      </c>
      <c r="T523" s="4">
        <v>31.65</v>
      </c>
      <c r="U523" s="5">
        <f t="shared" si="26"/>
        <v>37.979999999999997</v>
      </c>
      <c r="V523" s="1" t="s">
        <v>31</v>
      </c>
    </row>
    <row r="524" spans="1:22" x14ac:dyDescent="0.2">
      <c r="A524" s="1">
        <v>5325779</v>
      </c>
      <c r="B524" s="1" t="s">
        <v>2659</v>
      </c>
      <c r="C524" s="1" t="str">
        <f>"9788024637068"</f>
        <v>9788024637068</v>
      </c>
      <c r="D524" s="1" t="str">
        <f>"9788024637242"</f>
        <v>9788024637242</v>
      </c>
      <c r="E524" s="2" t="s">
        <v>2393</v>
      </c>
      <c r="F524" s="2" t="s">
        <v>2594</v>
      </c>
      <c r="G524" s="1" t="s">
        <v>24</v>
      </c>
      <c r="J524" s="1" t="s">
        <v>2660</v>
      </c>
      <c r="K524" s="1" t="s">
        <v>43</v>
      </c>
      <c r="L524" s="1" t="s">
        <v>2661</v>
      </c>
      <c r="M524" s="1" t="s">
        <v>2662</v>
      </c>
      <c r="N524" s="1" t="s">
        <v>2663</v>
      </c>
      <c r="O524" s="1" t="s">
        <v>39</v>
      </c>
      <c r="P524" s="4">
        <v>13.76</v>
      </c>
      <c r="Q524" s="5">
        <f t="shared" si="24"/>
        <v>16.512</v>
      </c>
      <c r="R524" s="4">
        <v>17.2</v>
      </c>
      <c r="S524" s="5">
        <f t="shared" si="25"/>
        <v>20.639999999999997</v>
      </c>
      <c r="T524" s="4">
        <v>20.64</v>
      </c>
      <c r="U524" s="5">
        <f t="shared" si="26"/>
        <v>24.768000000000001</v>
      </c>
      <c r="V524" s="1" t="s">
        <v>31</v>
      </c>
    </row>
    <row r="525" spans="1:22" x14ac:dyDescent="0.2">
      <c r="A525" s="1">
        <v>5325780</v>
      </c>
      <c r="B525" s="1" t="s">
        <v>2664</v>
      </c>
      <c r="C525" s="1" t="str">
        <f>"9788024634654"</f>
        <v>9788024634654</v>
      </c>
      <c r="D525" s="1" t="str">
        <f>"9788024634937"</f>
        <v>9788024634937</v>
      </c>
      <c r="E525" s="2" t="s">
        <v>2126</v>
      </c>
      <c r="F525" s="2" t="s">
        <v>2594</v>
      </c>
      <c r="G525" s="1" t="s">
        <v>24</v>
      </c>
      <c r="J525" s="1" t="s">
        <v>2665</v>
      </c>
      <c r="K525" s="1" t="s">
        <v>260</v>
      </c>
      <c r="L525" s="1" t="s">
        <v>2666</v>
      </c>
      <c r="M525" s="1" t="s">
        <v>2667</v>
      </c>
      <c r="N525" s="1" t="s">
        <v>2668</v>
      </c>
      <c r="O525" s="1" t="s">
        <v>39</v>
      </c>
      <c r="P525" s="4">
        <v>13.76</v>
      </c>
      <c r="Q525" s="5">
        <f t="shared" si="24"/>
        <v>16.512</v>
      </c>
      <c r="R525" s="4">
        <v>17.2</v>
      </c>
      <c r="S525" s="5">
        <f t="shared" si="25"/>
        <v>20.639999999999997</v>
      </c>
      <c r="T525" s="4">
        <v>20.64</v>
      </c>
      <c r="U525" s="5">
        <f t="shared" si="26"/>
        <v>24.768000000000001</v>
      </c>
      <c r="V525" s="1" t="s">
        <v>31</v>
      </c>
    </row>
    <row r="526" spans="1:22" x14ac:dyDescent="0.2">
      <c r="A526" s="1">
        <v>5325781</v>
      </c>
      <c r="B526" s="1" t="s">
        <v>2669</v>
      </c>
      <c r="C526" s="1" t="str">
        <f>"9788024638157"</f>
        <v>9788024638157</v>
      </c>
      <c r="D526" s="1" t="str">
        <f>"9788024638225"</f>
        <v>9788024638225</v>
      </c>
      <c r="E526" s="2" t="s">
        <v>2611</v>
      </c>
      <c r="F526" s="2" t="s">
        <v>2594</v>
      </c>
      <c r="G526" s="1" t="s">
        <v>24</v>
      </c>
      <c r="J526" s="1" t="s">
        <v>2670</v>
      </c>
      <c r="K526" s="1" t="s">
        <v>2671</v>
      </c>
      <c r="L526" s="1" t="s">
        <v>2672</v>
      </c>
      <c r="M526" s="1" t="s">
        <v>2673</v>
      </c>
      <c r="N526" s="1" t="s">
        <v>2674</v>
      </c>
      <c r="O526" s="1" t="s">
        <v>39</v>
      </c>
      <c r="P526" s="4">
        <v>13.76</v>
      </c>
      <c r="Q526" s="5">
        <f t="shared" si="24"/>
        <v>16.512</v>
      </c>
      <c r="R526" s="4">
        <v>17.2</v>
      </c>
      <c r="S526" s="5">
        <f t="shared" si="25"/>
        <v>20.639999999999997</v>
      </c>
      <c r="T526" s="4">
        <v>20.64</v>
      </c>
      <c r="U526" s="5">
        <f t="shared" si="26"/>
        <v>24.768000000000001</v>
      </c>
      <c r="V526" s="1" t="s">
        <v>31</v>
      </c>
    </row>
    <row r="527" spans="1:22" x14ac:dyDescent="0.2">
      <c r="A527" s="1">
        <v>5347153</v>
      </c>
      <c r="B527" s="1" t="s">
        <v>2675</v>
      </c>
      <c r="C527" s="1" t="str">
        <f>"9788024632889"</f>
        <v>9788024632889</v>
      </c>
      <c r="D527" s="1" t="str">
        <f>"9788024638737"</f>
        <v>9788024638737</v>
      </c>
      <c r="E527" s="2" t="s">
        <v>1984</v>
      </c>
      <c r="F527" s="2" t="s">
        <v>2676</v>
      </c>
      <c r="G527" s="1" t="s">
        <v>24</v>
      </c>
      <c r="I527" s="1" t="s">
        <v>1958</v>
      </c>
      <c r="J527" s="1" t="s">
        <v>2677</v>
      </c>
      <c r="K527" s="1" t="s">
        <v>72</v>
      </c>
      <c r="M527" s="1" t="s">
        <v>436</v>
      </c>
      <c r="O527" s="1" t="s">
        <v>30</v>
      </c>
      <c r="P527" s="4">
        <v>13.76</v>
      </c>
      <c r="Q527" s="5">
        <f t="shared" si="24"/>
        <v>16.512</v>
      </c>
      <c r="R527" s="4">
        <v>17.2</v>
      </c>
      <c r="S527" s="5">
        <f t="shared" si="25"/>
        <v>20.639999999999997</v>
      </c>
      <c r="T527" s="4">
        <v>20.64</v>
      </c>
      <c r="U527" s="5">
        <f t="shared" si="26"/>
        <v>24.768000000000001</v>
      </c>
      <c r="V527" s="1" t="s">
        <v>32</v>
      </c>
    </row>
    <row r="528" spans="1:22" x14ac:dyDescent="0.2">
      <c r="A528" s="1">
        <v>5347173</v>
      </c>
      <c r="B528" s="1" t="s">
        <v>2678</v>
      </c>
      <c r="C528" s="1" t="str">
        <f>"9788024632872"</f>
        <v>9788024632872</v>
      </c>
      <c r="D528" s="1" t="str">
        <f>"9788024638775"</f>
        <v>9788024638775</v>
      </c>
      <c r="E528" s="2" t="s">
        <v>69</v>
      </c>
      <c r="F528" s="2" t="s">
        <v>2676</v>
      </c>
      <c r="G528" s="1" t="s">
        <v>24</v>
      </c>
      <c r="I528" s="1" t="s">
        <v>1958</v>
      </c>
      <c r="J528" s="1" t="s">
        <v>2679</v>
      </c>
      <c r="K528" s="1" t="s">
        <v>36</v>
      </c>
      <c r="L528" s="1" t="s">
        <v>2680</v>
      </c>
      <c r="M528" s="1" t="s">
        <v>196</v>
      </c>
      <c r="O528" s="1" t="s">
        <v>30</v>
      </c>
      <c r="P528" s="4">
        <v>13.76</v>
      </c>
      <c r="Q528" s="5">
        <f t="shared" si="24"/>
        <v>16.512</v>
      </c>
      <c r="R528" s="4">
        <v>17.2</v>
      </c>
      <c r="S528" s="5">
        <f t="shared" si="25"/>
        <v>20.639999999999997</v>
      </c>
      <c r="T528" s="4">
        <v>20.64</v>
      </c>
      <c r="U528" s="5">
        <f t="shared" si="26"/>
        <v>24.768000000000001</v>
      </c>
      <c r="V528" s="1" t="s">
        <v>32</v>
      </c>
    </row>
    <row r="529" spans="1:22" x14ac:dyDescent="0.2">
      <c r="A529" s="1">
        <v>5347174</v>
      </c>
      <c r="B529" s="1" t="s">
        <v>2681</v>
      </c>
      <c r="C529" s="1" t="str">
        <f>"9788024632049"</f>
        <v>9788024632049</v>
      </c>
      <c r="D529" s="1" t="str">
        <f>"9788024632162"</f>
        <v>9788024632162</v>
      </c>
      <c r="E529" s="2" t="s">
        <v>2611</v>
      </c>
      <c r="F529" s="2" t="s">
        <v>2676</v>
      </c>
      <c r="G529" s="1" t="s">
        <v>24</v>
      </c>
      <c r="J529" s="1" t="s">
        <v>2682</v>
      </c>
      <c r="K529" s="1" t="s">
        <v>43</v>
      </c>
      <c r="O529" s="1" t="s">
        <v>39</v>
      </c>
      <c r="P529" s="4">
        <v>18.350000000000001</v>
      </c>
      <c r="Q529" s="5">
        <f t="shared" si="24"/>
        <v>22.02</v>
      </c>
      <c r="R529" s="4">
        <v>22.94</v>
      </c>
      <c r="S529" s="5">
        <f t="shared" si="25"/>
        <v>27.528000000000002</v>
      </c>
      <c r="T529" s="4">
        <v>27.52</v>
      </c>
      <c r="U529" s="5">
        <f t="shared" si="26"/>
        <v>33.024000000000001</v>
      </c>
      <c r="V529" s="1" t="s">
        <v>32</v>
      </c>
    </row>
    <row r="530" spans="1:22" x14ac:dyDescent="0.2">
      <c r="A530" s="1">
        <v>5347175</v>
      </c>
      <c r="B530" s="1" t="s">
        <v>628</v>
      </c>
      <c r="C530" s="1" t="str">
        <f>"9788024632865"</f>
        <v>9788024632865</v>
      </c>
      <c r="D530" s="1" t="str">
        <f>"9788024638744"</f>
        <v>9788024638744</v>
      </c>
      <c r="E530" s="2" t="s">
        <v>1781</v>
      </c>
      <c r="F530" s="2" t="s">
        <v>2676</v>
      </c>
      <c r="G530" s="1" t="s">
        <v>24</v>
      </c>
      <c r="I530" s="1" t="s">
        <v>1958</v>
      </c>
      <c r="J530" s="1" t="s">
        <v>2683</v>
      </c>
      <c r="K530" s="1" t="s">
        <v>181</v>
      </c>
      <c r="L530" s="1" t="s">
        <v>2684</v>
      </c>
      <c r="M530" s="1" t="s">
        <v>385</v>
      </c>
      <c r="O530" s="1" t="s">
        <v>30</v>
      </c>
      <c r="P530" s="4">
        <v>13.76</v>
      </c>
      <c r="Q530" s="5">
        <f t="shared" si="24"/>
        <v>16.512</v>
      </c>
      <c r="R530" s="4">
        <v>17.2</v>
      </c>
      <c r="S530" s="5">
        <f t="shared" si="25"/>
        <v>20.639999999999997</v>
      </c>
      <c r="T530" s="4">
        <v>20.64</v>
      </c>
      <c r="U530" s="5">
        <f t="shared" si="26"/>
        <v>24.768000000000001</v>
      </c>
      <c r="V530" s="1" t="s">
        <v>32</v>
      </c>
    </row>
    <row r="531" spans="1:22" x14ac:dyDescent="0.2">
      <c r="A531" s="1">
        <v>5347176</v>
      </c>
      <c r="B531" s="1" t="s">
        <v>2685</v>
      </c>
      <c r="C531" s="1" t="str">
        <f>""</f>
        <v/>
      </c>
      <c r="D531" s="1" t="str">
        <f>"9788024631462"</f>
        <v>9788024631462</v>
      </c>
      <c r="E531" s="2" t="s">
        <v>2605</v>
      </c>
      <c r="F531" s="2" t="s">
        <v>2676</v>
      </c>
      <c r="G531" s="1" t="s">
        <v>24</v>
      </c>
      <c r="J531" s="1" t="s">
        <v>2686</v>
      </c>
      <c r="K531" s="1" t="s">
        <v>2687</v>
      </c>
      <c r="O531" s="1" t="s">
        <v>39</v>
      </c>
      <c r="P531" s="4">
        <v>20.18</v>
      </c>
      <c r="Q531" s="5">
        <f t="shared" si="24"/>
        <v>24.215999999999998</v>
      </c>
      <c r="R531" s="4">
        <v>25.23</v>
      </c>
      <c r="S531" s="5">
        <f t="shared" si="25"/>
        <v>30.276</v>
      </c>
      <c r="T531" s="4">
        <v>30.28</v>
      </c>
      <c r="U531" s="5">
        <f t="shared" si="26"/>
        <v>36.335999999999999</v>
      </c>
      <c r="V531" s="1" t="s">
        <v>32</v>
      </c>
    </row>
    <row r="532" spans="1:22" x14ac:dyDescent="0.2">
      <c r="A532" s="1">
        <v>5347177</v>
      </c>
      <c r="B532" s="1" t="s">
        <v>2688</v>
      </c>
      <c r="C532" s="1" t="str">
        <f>"9788024632858"</f>
        <v>9788024632858</v>
      </c>
      <c r="D532" s="1" t="str">
        <f>"9788024638782"</f>
        <v>9788024638782</v>
      </c>
      <c r="E532" s="2" t="s">
        <v>1984</v>
      </c>
      <c r="F532" s="2" t="s">
        <v>2676</v>
      </c>
      <c r="G532" s="1" t="s">
        <v>24</v>
      </c>
      <c r="I532" s="1" t="s">
        <v>187</v>
      </c>
      <c r="J532" s="1" t="s">
        <v>2689</v>
      </c>
      <c r="K532" s="1" t="s">
        <v>2385</v>
      </c>
      <c r="O532" s="1" t="s">
        <v>30</v>
      </c>
      <c r="P532" s="4">
        <v>13.76</v>
      </c>
      <c r="Q532" s="5">
        <f t="shared" si="24"/>
        <v>16.512</v>
      </c>
      <c r="R532" s="4">
        <v>17.2</v>
      </c>
      <c r="S532" s="5">
        <f t="shared" si="25"/>
        <v>20.639999999999997</v>
      </c>
      <c r="T532" s="4">
        <v>20.64</v>
      </c>
      <c r="U532" s="5">
        <f t="shared" si="26"/>
        <v>24.768000000000001</v>
      </c>
      <c r="V532" s="1" t="s">
        <v>32</v>
      </c>
    </row>
    <row r="533" spans="1:22" x14ac:dyDescent="0.2">
      <c r="A533" s="1">
        <v>5347178</v>
      </c>
      <c r="B533" s="1" t="s">
        <v>768</v>
      </c>
      <c r="C533" s="1" t="str">
        <f>"9788024632896"</f>
        <v>9788024632896</v>
      </c>
      <c r="D533" s="1" t="str">
        <f>"9788024638768"</f>
        <v>9788024638768</v>
      </c>
      <c r="E533" s="2" t="s">
        <v>1984</v>
      </c>
      <c r="F533" s="2" t="s">
        <v>2676</v>
      </c>
      <c r="G533" s="1" t="s">
        <v>24</v>
      </c>
      <c r="I533" s="1" t="s">
        <v>187</v>
      </c>
      <c r="J533" s="1" t="s">
        <v>2690</v>
      </c>
      <c r="K533" s="1" t="s">
        <v>2385</v>
      </c>
      <c r="O533" s="1" t="s">
        <v>30</v>
      </c>
      <c r="P533" s="4">
        <v>13.76</v>
      </c>
      <c r="Q533" s="5">
        <f t="shared" si="24"/>
        <v>16.512</v>
      </c>
      <c r="R533" s="4">
        <v>17.2</v>
      </c>
      <c r="S533" s="5">
        <f t="shared" si="25"/>
        <v>20.639999999999997</v>
      </c>
      <c r="T533" s="4">
        <v>20.64</v>
      </c>
      <c r="U533" s="5">
        <f t="shared" si="26"/>
        <v>24.768000000000001</v>
      </c>
      <c r="V533" s="1" t="s">
        <v>32</v>
      </c>
    </row>
    <row r="534" spans="1:22" x14ac:dyDescent="0.2">
      <c r="A534" s="1">
        <v>5347179</v>
      </c>
      <c r="B534" s="1" t="s">
        <v>2691</v>
      </c>
      <c r="C534" s="1" t="str">
        <f>"9788024632902"</f>
        <v>9788024632902</v>
      </c>
      <c r="D534" s="1" t="str">
        <f>"9788024638751"</f>
        <v>9788024638751</v>
      </c>
      <c r="E534" s="2" t="s">
        <v>1984</v>
      </c>
      <c r="F534" s="2" t="s">
        <v>2676</v>
      </c>
      <c r="G534" s="1" t="s">
        <v>24</v>
      </c>
      <c r="I534" s="1" t="s">
        <v>1958</v>
      </c>
      <c r="J534" s="1" t="s">
        <v>2692</v>
      </c>
      <c r="K534" s="1" t="s">
        <v>72</v>
      </c>
      <c r="M534" s="1" t="s">
        <v>2693</v>
      </c>
      <c r="O534" s="1" t="s">
        <v>30</v>
      </c>
      <c r="P534" s="4">
        <v>13.76</v>
      </c>
      <c r="Q534" s="5">
        <f t="shared" si="24"/>
        <v>16.512</v>
      </c>
      <c r="R534" s="4">
        <v>17.2</v>
      </c>
      <c r="S534" s="5">
        <f t="shared" si="25"/>
        <v>20.639999999999997</v>
      </c>
      <c r="T534" s="4">
        <v>20.64</v>
      </c>
      <c r="U534" s="5">
        <f t="shared" si="26"/>
        <v>24.768000000000001</v>
      </c>
      <c r="V534" s="1" t="s">
        <v>32</v>
      </c>
    </row>
    <row r="535" spans="1:22" x14ac:dyDescent="0.2">
      <c r="A535" s="1">
        <v>5399269</v>
      </c>
      <c r="B535" s="1" t="s">
        <v>2694</v>
      </c>
      <c r="C535" s="1" t="str">
        <f>"9788024630014"</f>
        <v>9788024630014</v>
      </c>
      <c r="D535" s="1" t="str">
        <f>"9788024631424"</f>
        <v>9788024631424</v>
      </c>
      <c r="E535" s="2" t="s">
        <v>1470</v>
      </c>
      <c r="F535" s="2" t="s">
        <v>2695</v>
      </c>
      <c r="G535" s="1" t="s">
        <v>24</v>
      </c>
      <c r="J535" s="1" t="s">
        <v>369</v>
      </c>
      <c r="K535" s="1" t="s">
        <v>43</v>
      </c>
      <c r="L535" s="1" t="s">
        <v>2696</v>
      </c>
      <c r="M535" s="1" t="s">
        <v>2697</v>
      </c>
      <c r="N535" s="1" t="s">
        <v>2698</v>
      </c>
      <c r="O535" s="1" t="s">
        <v>30</v>
      </c>
      <c r="P535" s="4">
        <v>13.76</v>
      </c>
      <c r="Q535" s="5">
        <f t="shared" si="24"/>
        <v>16.512</v>
      </c>
      <c r="R535" s="4">
        <v>17.2</v>
      </c>
      <c r="S535" s="5">
        <f t="shared" si="25"/>
        <v>20.639999999999997</v>
      </c>
      <c r="T535" s="4">
        <v>20.64</v>
      </c>
      <c r="U535" s="5">
        <f t="shared" si="26"/>
        <v>24.768000000000001</v>
      </c>
      <c r="V535" s="1" t="s">
        <v>31</v>
      </c>
    </row>
    <row r="536" spans="1:22" x14ac:dyDescent="0.2">
      <c r="A536" s="1">
        <v>5399316</v>
      </c>
      <c r="B536" s="1" t="s">
        <v>2699</v>
      </c>
      <c r="C536" s="1" t="str">
        <f>"9788024637013"</f>
        <v>9788024637013</v>
      </c>
      <c r="D536" s="1" t="str">
        <f>"9788024637327"</f>
        <v>9788024637327</v>
      </c>
      <c r="E536" s="2" t="s">
        <v>2700</v>
      </c>
      <c r="F536" s="2" t="s">
        <v>2695</v>
      </c>
      <c r="G536" s="1" t="s">
        <v>24</v>
      </c>
      <c r="J536" s="1" t="s">
        <v>2701</v>
      </c>
      <c r="K536" s="1" t="s">
        <v>111</v>
      </c>
      <c r="L536" s="1" t="s">
        <v>2702</v>
      </c>
      <c r="M536" s="1" t="s">
        <v>2703</v>
      </c>
      <c r="N536" s="1" t="s">
        <v>2704</v>
      </c>
      <c r="O536" s="1" t="s">
        <v>30</v>
      </c>
      <c r="P536" s="4">
        <v>22.94</v>
      </c>
      <c r="Q536" s="5">
        <f t="shared" si="24"/>
        <v>27.528000000000002</v>
      </c>
      <c r="R536" s="4">
        <v>28.67</v>
      </c>
      <c r="S536" s="5">
        <f t="shared" si="25"/>
        <v>34.404000000000003</v>
      </c>
      <c r="T536" s="4">
        <v>34.4</v>
      </c>
      <c r="U536" s="5">
        <f t="shared" si="26"/>
        <v>41.279999999999994</v>
      </c>
      <c r="V536" s="1" t="s">
        <v>31</v>
      </c>
    </row>
    <row r="537" spans="1:22" x14ac:dyDescent="0.2">
      <c r="A537" s="1">
        <v>5399317</v>
      </c>
      <c r="B537" s="1" t="s">
        <v>2705</v>
      </c>
      <c r="C537" s="1" t="str">
        <f>"9788024635897"</f>
        <v>9788024635897</v>
      </c>
      <c r="D537" s="1" t="str">
        <f>"9788024635941"</f>
        <v>9788024635941</v>
      </c>
      <c r="E537" s="2" t="s">
        <v>2700</v>
      </c>
      <c r="F537" s="2" t="s">
        <v>2695</v>
      </c>
      <c r="G537" s="1" t="s">
        <v>24</v>
      </c>
      <c r="J537" s="1" t="s">
        <v>2706</v>
      </c>
      <c r="K537" s="1" t="s">
        <v>64</v>
      </c>
      <c r="L537" s="1" t="s">
        <v>2707</v>
      </c>
      <c r="M537" s="1" t="s">
        <v>529</v>
      </c>
      <c r="N537" s="1" t="s">
        <v>2708</v>
      </c>
      <c r="O537" s="1" t="s">
        <v>30</v>
      </c>
      <c r="P537" s="4">
        <v>13.76</v>
      </c>
      <c r="Q537" s="5">
        <f t="shared" si="24"/>
        <v>16.512</v>
      </c>
      <c r="R537" s="4">
        <v>17.2</v>
      </c>
      <c r="S537" s="5">
        <f t="shared" si="25"/>
        <v>20.639999999999997</v>
      </c>
      <c r="T537" s="4">
        <v>20.64</v>
      </c>
      <c r="U537" s="5">
        <f t="shared" si="26"/>
        <v>24.768000000000001</v>
      </c>
      <c r="V537" s="1" t="s">
        <v>31</v>
      </c>
    </row>
    <row r="538" spans="1:22" x14ac:dyDescent="0.2">
      <c r="A538" s="1">
        <v>5399318</v>
      </c>
      <c r="B538" s="1" t="s">
        <v>2709</v>
      </c>
      <c r="C538" s="1" t="str">
        <f>"9788024637150"</f>
        <v>9788024637150</v>
      </c>
      <c r="D538" s="1" t="str">
        <f>"9788024637358"</f>
        <v>9788024637358</v>
      </c>
      <c r="E538" s="2" t="s">
        <v>2700</v>
      </c>
      <c r="F538" s="2" t="s">
        <v>2695</v>
      </c>
      <c r="G538" s="1" t="s">
        <v>24</v>
      </c>
      <c r="J538" s="1" t="s">
        <v>2710</v>
      </c>
      <c r="K538" s="1" t="s">
        <v>64</v>
      </c>
      <c r="L538" s="1" t="s">
        <v>2711</v>
      </c>
      <c r="M538" s="1" t="s">
        <v>2712</v>
      </c>
      <c r="N538" s="1" t="s">
        <v>2713</v>
      </c>
      <c r="O538" s="1" t="s">
        <v>30</v>
      </c>
      <c r="P538" s="4">
        <v>13.76</v>
      </c>
      <c r="Q538" s="5">
        <f t="shared" si="24"/>
        <v>16.512</v>
      </c>
      <c r="R538" s="4">
        <v>17.2</v>
      </c>
      <c r="S538" s="5">
        <f t="shared" si="25"/>
        <v>20.639999999999997</v>
      </c>
      <c r="T538" s="4">
        <v>20.64</v>
      </c>
      <c r="U538" s="5">
        <f t="shared" si="26"/>
        <v>24.768000000000001</v>
      </c>
      <c r="V538" s="1" t="s">
        <v>31</v>
      </c>
    </row>
    <row r="539" spans="1:22" x14ac:dyDescent="0.2">
      <c r="A539" s="1">
        <v>5399319</v>
      </c>
      <c r="B539" s="1" t="s">
        <v>2714</v>
      </c>
      <c r="C539" s="1" t="str">
        <f>"9788024636443"</f>
        <v>9788024636443</v>
      </c>
      <c r="D539" s="1" t="str">
        <f>"9788024636818"</f>
        <v>9788024636818</v>
      </c>
      <c r="E539" s="2" t="s">
        <v>2700</v>
      </c>
      <c r="F539" s="2" t="s">
        <v>2695</v>
      </c>
      <c r="G539" s="1" t="s">
        <v>24</v>
      </c>
      <c r="J539" s="1" t="s">
        <v>2715</v>
      </c>
      <c r="K539" s="1" t="s">
        <v>111</v>
      </c>
      <c r="L539" s="1" t="s">
        <v>2716</v>
      </c>
      <c r="M539" s="1" t="s">
        <v>2717</v>
      </c>
      <c r="N539" s="1" t="s">
        <v>2718</v>
      </c>
      <c r="O539" s="1" t="s">
        <v>39</v>
      </c>
      <c r="P539" s="4">
        <v>13.76</v>
      </c>
      <c r="Q539" s="5">
        <f t="shared" si="24"/>
        <v>16.512</v>
      </c>
      <c r="R539" s="4">
        <v>17.2</v>
      </c>
      <c r="S539" s="5">
        <f t="shared" si="25"/>
        <v>20.639999999999997</v>
      </c>
      <c r="T539" s="4">
        <v>20.64</v>
      </c>
      <c r="U539" s="5">
        <f t="shared" si="26"/>
        <v>24.768000000000001</v>
      </c>
      <c r="V539" s="1" t="s">
        <v>31</v>
      </c>
    </row>
    <row r="540" spans="1:22" x14ac:dyDescent="0.2">
      <c r="A540" s="1">
        <v>5399320</v>
      </c>
      <c r="B540" s="1" t="s">
        <v>2719</v>
      </c>
      <c r="C540" s="1" t="str">
        <f>"9788024637860"</f>
        <v>9788024637860</v>
      </c>
      <c r="D540" s="1" t="str">
        <f>"9788024637952"</f>
        <v>9788024637952</v>
      </c>
      <c r="E540" s="2" t="s">
        <v>2700</v>
      </c>
      <c r="F540" s="2" t="s">
        <v>2695</v>
      </c>
      <c r="G540" s="1" t="s">
        <v>24</v>
      </c>
      <c r="J540" s="1" t="s">
        <v>2720</v>
      </c>
      <c r="K540" s="1" t="s">
        <v>284</v>
      </c>
      <c r="L540" s="1" t="s">
        <v>2721</v>
      </c>
      <c r="M540" s="1" t="s">
        <v>2722</v>
      </c>
      <c r="N540" s="1" t="s">
        <v>2723</v>
      </c>
      <c r="O540" s="1" t="s">
        <v>39</v>
      </c>
      <c r="P540" s="4">
        <v>13.76</v>
      </c>
      <c r="Q540" s="5">
        <f t="shared" si="24"/>
        <v>16.512</v>
      </c>
      <c r="R540" s="4">
        <v>17.2</v>
      </c>
      <c r="S540" s="5">
        <f t="shared" si="25"/>
        <v>20.639999999999997</v>
      </c>
      <c r="T540" s="4">
        <v>20.64</v>
      </c>
      <c r="U540" s="5">
        <f t="shared" si="26"/>
        <v>24.768000000000001</v>
      </c>
      <c r="V540" s="1" t="s">
        <v>31</v>
      </c>
    </row>
    <row r="541" spans="1:22" x14ac:dyDescent="0.2">
      <c r="A541" s="1">
        <v>5399321</v>
      </c>
      <c r="B541" s="1" t="s">
        <v>2724</v>
      </c>
      <c r="C541" s="1" t="str">
        <f>"9788024637099"</f>
        <v>9788024637099</v>
      </c>
      <c r="D541" s="1" t="str">
        <f>"9788024637365"</f>
        <v>9788024637365</v>
      </c>
      <c r="E541" s="2" t="s">
        <v>2700</v>
      </c>
      <c r="F541" s="2" t="s">
        <v>2695</v>
      </c>
      <c r="G541" s="1" t="s">
        <v>24</v>
      </c>
      <c r="J541" s="1" t="s">
        <v>2725</v>
      </c>
      <c r="K541" s="1" t="s">
        <v>50</v>
      </c>
      <c r="L541" s="1" t="s">
        <v>2726</v>
      </c>
      <c r="M541" s="1" t="s">
        <v>2727</v>
      </c>
      <c r="N541" s="1" t="s">
        <v>2728</v>
      </c>
      <c r="O541" s="1" t="s">
        <v>39</v>
      </c>
      <c r="P541" s="4">
        <v>13.76</v>
      </c>
      <c r="Q541" s="5">
        <f t="shared" si="24"/>
        <v>16.512</v>
      </c>
      <c r="R541" s="4">
        <v>17.2</v>
      </c>
      <c r="S541" s="5">
        <f t="shared" si="25"/>
        <v>20.639999999999997</v>
      </c>
      <c r="T541" s="4">
        <v>20.64</v>
      </c>
      <c r="U541" s="5">
        <f t="shared" si="26"/>
        <v>24.768000000000001</v>
      </c>
      <c r="V541" s="1" t="s">
        <v>31</v>
      </c>
    </row>
    <row r="542" spans="1:22" x14ac:dyDescent="0.2">
      <c r="A542" s="1">
        <v>5399322</v>
      </c>
      <c r="B542" s="1" t="s">
        <v>2729</v>
      </c>
      <c r="C542" s="1" t="str">
        <f>"9788024635057"</f>
        <v>9788024635057</v>
      </c>
      <c r="D542" s="1" t="str">
        <f>"9788024637631"</f>
        <v>9788024637631</v>
      </c>
      <c r="E542" s="2" t="s">
        <v>2393</v>
      </c>
      <c r="F542" s="2" t="s">
        <v>2695</v>
      </c>
      <c r="G542" s="1" t="s">
        <v>24</v>
      </c>
      <c r="J542" s="1" t="s">
        <v>2730</v>
      </c>
      <c r="K542" s="1" t="s">
        <v>260</v>
      </c>
      <c r="L542" s="1" t="s">
        <v>2731</v>
      </c>
      <c r="M542" s="1">
        <v>378</v>
      </c>
      <c r="N542" s="1" t="s">
        <v>2732</v>
      </c>
      <c r="O542" s="1" t="s">
        <v>39</v>
      </c>
      <c r="P542" s="4">
        <v>13.76</v>
      </c>
      <c r="Q542" s="5">
        <f t="shared" si="24"/>
        <v>16.512</v>
      </c>
      <c r="R542" s="4">
        <v>17.2</v>
      </c>
      <c r="S542" s="5">
        <f t="shared" si="25"/>
        <v>20.639999999999997</v>
      </c>
      <c r="T542" s="4">
        <v>20.64</v>
      </c>
      <c r="U542" s="5">
        <f t="shared" si="26"/>
        <v>24.768000000000001</v>
      </c>
      <c r="V542" s="1" t="s">
        <v>31</v>
      </c>
    </row>
    <row r="543" spans="1:22" x14ac:dyDescent="0.2">
      <c r="A543" s="1">
        <v>5399323</v>
      </c>
      <c r="B543" s="1" t="s">
        <v>2733</v>
      </c>
      <c r="C543" s="1" t="str">
        <f>"9788024635552"</f>
        <v>9788024635552</v>
      </c>
      <c r="D543" s="1" t="str">
        <f>"9788024635699"</f>
        <v>9788024635699</v>
      </c>
      <c r="E543" s="2" t="s">
        <v>2616</v>
      </c>
      <c r="F543" s="2" t="s">
        <v>2695</v>
      </c>
      <c r="G543" s="1" t="s">
        <v>24</v>
      </c>
      <c r="J543" s="1" t="s">
        <v>2734</v>
      </c>
      <c r="K543" s="1" t="s">
        <v>111</v>
      </c>
      <c r="L543" s="1" t="s">
        <v>2735</v>
      </c>
      <c r="M543" s="1" t="s">
        <v>2736</v>
      </c>
      <c r="N543" s="1" t="s">
        <v>2737</v>
      </c>
      <c r="O543" s="1" t="s">
        <v>39</v>
      </c>
      <c r="P543" s="4">
        <v>18.350000000000001</v>
      </c>
      <c r="Q543" s="5">
        <f t="shared" si="24"/>
        <v>22.02</v>
      </c>
      <c r="R543" s="4">
        <v>22.94</v>
      </c>
      <c r="S543" s="5">
        <f t="shared" si="25"/>
        <v>27.528000000000002</v>
      </c>
      <c r="T543" s="4">
        <v>27.52</v>
      </c>
      <c r="U543" s="5">
        <f t="shared" si="26"/>
        <v>33.024000000000001</v>
      </c>
      <c r="V543" s="1" t="s">
        <v>31</v>
      </c>
    </row>
    <row r="544" spans="1:22" x14ac:dyDescent="0.2">
      <c r="A544" s="1">
        <v>5399324</v>
      </c>
      <c r="B544" s="1" t="s">
        <v>2738</v>
      </c>
      <c r="C544" s="1" t="str">
        <f>"9788024638102"</f>
        <v>9788024638102</v>
      </c>
      <c r="D544" s="1" t="str">
        <f>"9788024638843"</f>
        <v>9788024638843</v>
      </c>
      <c r="E544" s="2" t="s">
        <v>2700</v>
      </c>
      <c r="F544" s="2" t="s">
        <v>2695</v>
      </c>
      <c r="G544" s="1" t="s">
        <v>24</v>
      </c>
      <c r="J544" s="1" t="s">
        <v>2739</v>
      </c>
      <c r="K544" s="1" t="s">
        <v>124</v>
      </c>
      <c r="L544" s="1" t="s">
        <v>2740</v>
      </c>
      <c r="M544" s="1" t="s">
        <v>2741</v>
      </c>
      <c r="N544" s="1" t="s">
        <v>2742</v>
      </c>
      <c r="O544" s="1" t="s">
        <v>30</v>
      </c>
      <c r="P544" s="4">
        <v>13.76</v>
      </c>
      <c r="Q544" s="5">
        <f t="shared" si="24"/>
        <v>16.512</v>
      </c>
      <c r="R544" s="4">
        <v>17.2</v>
      </c>
      <c r="S544" s="5">
        <f t="shared" si="25"/>
        <v>20.639999999999997</v>
      </c>
      <c r="T544" s="4">
        <v>20.64</v>
      </c>
      <c r="U544" s="5">
        <f t="shared" si="26"/>
        <v>24.768000000000001</v>
      </c>
      <c r="V544" s="1" t="s">
        <v>31</v>
      </c>
    </row>
    <row r="545" spans="1:22" x14ac:dyDescent="0.2">
      <c r="A545" s="1">
        <v>5399325</v>
      </c>
      <c r="B545" s="1" t="s">
        <v>2743</v>
      </c>
      <c r="C545" s="1" t="str">
        <f>"9788024620282"</f>
        <v>9788024620282</v>
      </c>
      <c r="D545" s="1" t="str">
        <f>"9788024630298"</f>
        <v>9788024630298</v>
      </c>
      <c r="E545" s="2" t="s">
        <v>944</v>
      </c>
      <c r="F545" s="2" t="s">
        <v>2695</v>
      </c>
      <c r="G545" s="1" t="s">
        <v>24</v>
      </c>
      <c r="J545" s="1" t="s">
        <v>2744</v>
      </c>
      <c r="K545" s="1" t="s">
        <v>79</v>
      </c>
      <c r="L545" s="1" t="s">
        <v>2745</v>
      </c>
      <c r="M545" s="1" t="s">
        <v>2746</v>
      </c>
      <c r="N545" s="1" t="s">
        <v>2747</v>
      </c>
      <c r="O545" s="1" t="s">
        <v>39</v>
      </c>
      <c r="P545" s="4">
        <v>13.76</v>
      </c>
      <c r="Q545" s="5">
        <f t="shared" si="24"/>
        <v>16.512</v>
      </c>
      <c r="R545" s="4">
        <v>17.2</v>
      </c>
      <c r="S545" s="5">
        <f t="shared" si="25"/>
        <v>20.639999999999997</v>
      </c>
      <c r="T545" s="4">
        <v>20.64</v>
      </c>
      <c r="U545" s="5">
        <f t="shared" si="26"/>
        <v>24.768000000000001</v>
      </c>
      <c r="V545" s="1" t="s">
        <v>31</v>
      </c>
    </row>
    <row r="546" spans="1:22" x14ac:dyDescent="0.2">
      <c r="A546" s="1">
        <v>5399326</v>
      </c>
      <c r="B546" s="1" t="s">
        <v>2748</v>
      </c>
      <c r="C546" s="1" t="str">
        <f>"9788024626857"</f>
        <v>9788024626857</v>
      </c>
      <c r="D546" s="1" t="str">
        <f>"9788024633428"</f>
        <v>9788024633428</v>
      </c>
      <c r="E546" s="2" t="s">
        <v>122</v>
      </c>
      <c r="F546" s="2" t="s">
        <v>2695</v>
      </c>
      <c r="G546" s="1" t="s">
        <v>24</v>
      </c>
      <c r="J546" s="1" t="s">
        <v>2749</v>
      </c>
      <c r="K546" s="1" t="s">
        <v>64</v>
      </c>
      <c r="L546" s="1" t="s">
        <v>2750</v>
      </c>
      <c r="M546" s="1" t="s">
        <v>2751</v>
      </c>
      <c r="N546" s="1" t="s">
        <v>2752</v>
      </c>
      <c r="O546" s="1" t="s">
        <v>39</v>
      </c>
      <c r="P546" s="4">
        <v>13.76</v>
      </c>
      <c r="Q546" s="5">
        <f t="shared" si="24"/>
        <v>16.512</v>
      </c>
      <c r="R546" s="4">
        <v>17.2</v>
      </c>
      <c r="S546" s="5">
        <f t="shared" si="25"/>
        <v>20.639999999999997</v>
      </c>
      <c r="T546" s="4">
        <v>20.64</v>
      </c>
      <c r="U546" s="5">
        <f t="shared" si="26"/>
        <v>24.768000000000001</v>
      </c>
      <c r="V546" s="1" t="s">
        <v>31</v>
      </c>
    </row>
    <row r="547" spans="1:22" x14ac:dyDescent="0.2">
      <c r="A547" s="1">
        <v>5399327</v>
      </c>
      <c r="B547" s="1" t="s">
        <v>2753</v>
      </c>
      <c r="C547" s="1" t="str">
        <f>"9788024637303"</f>
        <v>9788024637303</v>
      </c>
      <c r="D547" s="1" t="str">
        <f>"9788024637310"</f>
        <v>9788024637310</v>
      </c>
      <c r="E547" s="2" t="s">
        <v>2700</v>
      </c>
      <c r="F547" s="2" t="s">
        <v>2695</v>
      </c>
      <c r="G547" s="1" t="s">
        <v>24</v>
      </c>
      <c r="J547" s="1" t="s">
        <v>2754</v>
      </c>
      <c r="K547" s="1" t="s">
        <v>1437</v>
      </c>
      <c r="L547" s="1" t="s">
        <v>2755</v>
      </c>
      <c r="M547" s="1" t="s">
        <v>2756</v>
      </c>
      <c r="N547" s="1" t="s">
        <v>2757</v>
      </c>
      <c r="O547" s="1" t="s">
        <v>30</v>
      </c>
      <c r="P547" s="4">
        <v>18.350000000000001</v>
      </c>
      <c r="Q547" s="5">
        <f t="shared" si="24"/>
        <v>22.02</v>
      </c>
      <c r="R547" s="4">
        <v>22.94</v>
      </c>
      <c r="S547" s="5">
        <f t="shared" si="25"/>
        <v>27.528000000000002</v>
      </c>
      <c r="T547" s="4">
        <v>27.52</v>
      </c>
      <c r="U547" s="5">
        <f t="shared" si="26"/>
        <v>33.024000000000001</v>
      </c>
      <c r="V547" s="1" t="s">
        <v>31</v>
      </c>
    </row>
    <row r="548" spans="1:22" x14ac:dyDescent="0.2">
      <c r="A548" s="1">
        <v>5399328</v>
      </c>
      <c r="B548" s="1" t="s">
        <v>2758</v>
      </c>
      <c r="C548" s="1" t="str">
        <f>"9788024637440"</f>
        <v>9788024637440</v>
      </c>
      <c r="D548" s="1" t="str">
        <f>"9788024637716"</f>
        <v>9788024637716</v>
      </c>
      <c r="E548" s="2" t="s">
        <v>2611</v>
      </c>
      <c r="F548" s="2" t="s">
        <v>2695</v>
      </c>
      <c r="G548" s="1" t="s">
        <v>24</v>
      </c>
      <c r="J548" s="1" t="s">
        <v>2759</v>
      </c>
      <c r="K548" s="1" t="s">
        <v>111</v>
      </c>
      <c r="L548" s="1" t="s">
        <v>2760</v>
      </c>
      <c r="M548" s="1" t="s">
        <v>2761</v>
      </c>
      <c r="N548" s="1" t="s">
        <v>2762</v>
      </c>
      <c r="O548" s="1" t="s">
        <v>39</v>
      </c>
      <c r="P548" s="4">
        <v>17.43</v>
      </c>
      <c r="Q548" s="5">
        <f t="shared" si="24"/>
        <v>20.916</v>
      </c>
      <c r="R548" s="4">
        <v>21.79</v>
      </c>
      <c r="S548" s="5">
        <f t="shared" si="25"/>
        <v>26.148</v>
      </c>
      <c r="T548" s="4">
        <v>26.15</v>
      </c>
      <c r="U548" s="5">
        <f t="shared" si="26"/>
        <v>31.379999999999995</v>
      </c>
      <c r="V548" s="1" t="s">
        <v>31</v>
      </c>
    </row>
    <row r="549" spans="1:22" x14ac:dyDescent="0.2">
      <c r="A549" s="1">
        <v>5399329</v>
      </c>
      <c r="B549" s="1" t="s">
        <v>2763</v>
      </c>
      <c r="C549" s="1" t="str">
        <f>"9788024637969"</f>
        <v>9788024637969</v>
      </c>
      <c r="D549" s="1" t="str">
        <f>"9788024638409"</f>
        <v>9788024638409</v>
      </c>
      <c r="E549" s="2" t="s">
        <v>2700</v>
      </c>
      <c r="F549" s="2" t="s">
        <v>2695</v>
      </c>
      <c r="G549" s="1" t="s">
        <v>24</v>
      </c>
      <c r="J549" s="1" t="s">
        <v>1757</v>
      </c>
      <c r="K549" s="1" t="s">
        <v>334</v>
      </c>
      <c r="L549" s="1" t="s">
        <v>2764</v>
      </c>
      <c r="M549" s="1" t="s">
        <v>2765</v>
      </c>
      <c r="N549" s="1" t="s">
        <v>2766</v>
      </c>
      <c r="O549" s="1" t="s">
        <v>39</v>
      </c>
      <c r="P549" s="4">
        <v>17.43</v>
      </c>
      <c r="Q549" s="5">
        <f t="shared" si="24"/>
        <v>20.916</v>
      </c>
      <c r="R549" s="4">
        <v>21.79</v>
      </c>
      <c r="S549" s="5">
        <f t="shared" si="25"/>
        <v>26.148</v>
      </c>
      <c r="T549" s="4">
        <v>26.15</v>
      </c>
      <c r="U549" s="5">
        <f t="shared" si="26"/>
        <v>31.379999999999995</v>
      </c>
      <c r="V549" s="1" t="s">
        <v>31</v>
      </c>
    </row>
    <row r="550" spans="1:22" x14ac:dyDescent="0.2">
      <c r="A550" s="1">
        <v>5399330</v>
      </c>
      <c r="B550" s="1" t="s">
        <v>2767</v>
      </c>
      <c r="C550" s="1" t="str">
        <f>"9788024628592"</f>
        <v>9788024628592</v>
      </c>
      <c r="D550" s="1" t="str">
        <f>"9788024628752"</f>
        <v>9788024628752</v>
      </c>
      <c r="E550" s="2" t="s">
        <v>981</v>
      </c>
      <c r="F550" s="2" t="s">
        <v>2695</v>
      </c>
      <c r="G550" s="1" t="s">
        <v>24</v>
      </c>
      <c r="J550" s="1" t="s">
        <v>2768</v>
      </c>
      <c r="K550" s="1" t="s">
        <v>248</v>
      </c>
      <c r="L550" s="1" t="s">
        <v>2769</v>
      </c>
      <c r="M550" s="1" t="s">
        <v>2770</v>
      </c>
      <c r="N550" s="1" t="s">
        <v>2771</v>
      </c>
      <c r="O550" s="1" t="s">
        <v>39</v>
      </c>
      <c r="P550" s="4">
        <v>13.76</v>
      </c>
      <c r="Q550" s="5">
        <f t="shared" si="24"/>
        <v>16.512</v>
      </c>
      <c r="R550" s="4">
        <v>17.2</v>
      </c>
      <c r="S550" s="5">
        <f t="shared" si="25"/>
        <v>20.639999999999997</v>
      </c>
      <c r="T550" s="4">
        <v>20.64</v>
      </c>
      <c r="U550" s="5">
        <f t="shared" si="26"/>
        <v>24.768000000000001</v>
      </c>
      <c r="V550" s="1" t="s">
        <v>31</v>
      </c>
    </row>
    <row r="551" spans="1:22" x14ac:dyDescent="0.2">
      <c r="A551" s="1">
        <v>5399331</v>
      </c>
      <c r="B551" s="1" t="s">
        <v>2772</v>
      </c>
      <c r="C551" s="1" t="str">
        <f>"9788024635439"</f>
        <v>9788024635439</v>
      </c>
      <c r="D551" s="1" t="str">
        <f>"9788024636023"</f>
        <v>9788024636023</v>
      </c>
      <c r="E551" s="2" t="s">
        <v>2131</v>
      </c>
      <c r="F551" s="2" t="s">
        <v>2695</v>
      </c>
      <c r="G551" s="1" t="s">
        <v>24</v>
      </c>
      <c r="J551" s="1" t="s">
        <v>2773</v>
      </c>
      <c r="K551" s="1" t="s">
        <v>79</v>
      </c>
      <c r="L551" s="1" t="s">
        <v>2774</v>
      </c>
      <c r="M551" s="1" t="s">
        <v>296</v>
      </c>
      <c r="N551" s="1" t="s">
        <v>2775</v>
      </c>
      <c r="O551" s="1" t="s">
        <v>39</v>
      </c>
      <c r="P551" s="4">
        <v>13.76</v>
      </c>
      <c r="Q551" s="5">
        <f t="shared" si="24"/>
        <v>16.512</v>
      </c>
      <c r="R551" s="4">
        <v>17.2</v>
      </c>
      <c r="S551" s="5">
        <f t="shared" si="25"/>
        <v>20.639999999999997</v>
      </c>
      <c r="T551" s="4">
        <v>20.64</v>
      </c>
      <c r="U551" s="5">
        <f t="shared" si="26"/>
        <v>24.768000000000001</v>
      </c>
      <c r="V551" s="1" t="s">
        <v>31</v>
      </c>
    </row>
    <row r="552" spans="1:22" x14ac:dyDescent="0.2">
      <c r="A552" s="1">
        <v>5399332</v>
      </c>
      <c r="B552" s="1" t="s">
        <v>2776</v>
      </c>
      <c r="C552" s="1" t="str">
        <f>"9788024636382"</f>
        <v>9788024636382</v>
      </c>
      <c r="D552" s="1" t="str">
        <f>"9788024636535"</f>
        <v>9788024636535</v>
      </c>
      <c r="E552" s="2" t="s">
        <v>2777</v>
      </c>
      <c r="F552" s="2" t="s">
        <v>2695</v>
      </c>
      <c r="G552" s="1" t="s">
        <v>24</v>
      </c>
      <c r="J552" s="1" t="s">
        <v>2778</v>
      </c>
      <c r="K552" s="1" t="s">
        <v>2779</v>
      </c>
      <c r="L552" s="1" t="s">
        <v>2780</v>
      </c>
      <c r="M552" s="1" t="s">
        <v>2781</v>
      </c>
      <c r="N552" s="1" t="s">
        <v>2782</v>
      </c>
      <c r="O552" s="1" t="s">
        <v>39</v>
      </c>
      <c r="P552" s="4">
        <v>13.76</v>
      </c>
      <c r="Q552" s="5">
        <f t="shared" si="24"/>
        <v>16.512</v>
      </c>
      <c r="R552" s="4">
        <v>17.2</v>
      </c>
      <c r="S552" s="5">
        <f t="shared" si="25"/>
        <v>20.639999999999997</v>
      </c>
      <c r="T552" s="4">
        <v>20.64</v>
      </c>
      <c r="U552" s="5">
        <f t="shared" si="26"/>
        <v>24.768000000000001</v>
      </c>
      <c r="V552" s="1" t="s">
        <v>31</v>
      </c>
    </row>
    <row r="553" spans="1:22" x14ac:dyDescent="0.2">
      <c r="A553" s="1">
        <v>5399333</v>
      </c>
      <c r="B553" s="1" t="s">
        <v>2783</v>
      </c>
      <c r="C553" s="1" t="str">
        <f>"9788024637143"</f>
        <v>9788024637143</v>
      </c>
      <c r="D553" s="1" t="str">
        <f>"9788024637396"</f>
        <v>9788024637396</v>
      </c>
      <c r="E553" s="2" t="s">
        <v>2777</v>
      </c>
      <c r="F553" s="2" t="s">
        <v>2695</v>
      </c>
      <c r="G553" s="1" t="s">
        <v>24</v>
      </c>
      <c r="J553" s="1" t="s">
        <v>2784</v>
      </c>
      <c r="K553" s="1" t="s">
        <v>763</v>
      </c>
      <c r="L553" s="1" t="s">
        <v>2785</v>
      </c>
      <c r="M553" s="1" t="s">
        <v>2786</v>
      </c>
      <c r="N553" s="1" t="s">
        <v>2787</v>
      </c>
      <c r="O553" s="1" t="s">
        <v>30</v>
      </c>
      <c r="P553" s="4">
        <v>18.350000000000001</v>
      </c>
      <c r="Q553" s="5">
        <f t="shared" si="24"/>
        <v>22.02</v>
      </c>
      <c r="R553" s="4">
        <v>22.94</v>
      </c>
      <c r="S553" s="5">
        <f t="shared" si="25"/>
        <v>27.528000000000002</v>
      </c>
      <c r="T553" s="4">
        <v>27.52</v>
      </c>
      <c r="U553" s="5">
        <f t="shared" si="26"/>
        <v>33.024000000000001</v>
      </c>
      <c r="V553" s="1" t="s">
        <v>31</v>
      </c>
    </row>
    <row r="554" spans="1:22" x14ac:dyDescent="0.2">
      <c r="A554" s="1">
        <v>5402053</v>
      </c>
      <c r="B554" s="1" t="s">
        <v>2788</v>
      </c>
      <c r="C554" s="1" t="str">
        <f>"9788024635903"</f>
        <v>9788024635903</v>
      </c>
      <c r="D554" s="1" t="str">
        <f>"9788024635910"</f>
        <v>9788024635910</v>
      </c>
      <c r="E554" s="2" t="s">
        <v>2611</v>
      </c>
      <c r="F554" s="2" t="s">
        <v>2789</v>
      </c>
      <c r="G554" s="1" t="s">
        <v>24</v>
      </c>
      <c r="J554" s="1" t="s">
        <v>2790</v>
      </c>
      <c r="K554" s="1" t="s">
        <v>43</v>
      </c>
      <c r="L554" s="1" t="s">
        <v>2791</v>
      </c>
      <c r="M554" s="1" t="s">
        <v>1790</v>
      </c>
      <c r="N554" s="1" t="s">
        <v>2792</v>
      </c>
      <c r="O554" s="1" t="s">
        <v>30</v>
      </c>
      <c r="P554" s="4">
        <v>13.76</v>
      </c>
      <c r="Q554" s="5">
        <f t="shared" si="24"/>
        <v>16.512</v>
      </c>
      <c r="R554" s="4">
        <v>17.2</v>
      </c>
      <c r="S554" s="5">
        <f t="shared" si="25"/>
        <v>20.639999999999997</v>
      </c>
      <c r="T554" s="4">
        <v>20.64</v>
      </c>
      <c r="U554" s="5">
        <f t="shared" si="26"/>
        <v>24.768000000000001</v>
      </c>
      <c r="V554" s="1" t="s">
        <v>31</v>
      </c>
    </row>
    <row r="555" spans="1:22" x14ac:dyDescent="0.2">
      <c r="A555" s="1">
        <v>5402054</v>
      </c>
      <c r="B555" s="1" t="s">
        <v>2793</v>
      </c>
      <c r="C555" s="1" t="str">
        <f>"9788024636696"</f>
        <v>9788024636696</v>
      </c>
      <c r="D555" s="1" t="str">
        <f>"9788024636955"</f>
        <v>9788024636955</v>
      </c>
      <c r="E555" s="2" t="s">
        <v>2605</v>
      </c>
      <c r="F555" s="2" t="s">
        <v>2789</v>
      </c>
      <c r="G555" s="1" t="s">
        <v>24</v>
      </c>
      <c r="J555" s="1" t="s">
        <v>2794</v>
      </c>
      <c r="K555" s="1" t="s">
        <v>43</v>
      </c>
      <c r="L555" s="1" t="s">
        <v>2795</v>
      </c>
      <c r="M555" s="1" t="s">
        <v>2796</v>
      </c>
      <c r="N555" s="1" t="s">
        <v>2797</v>
      </c>
      <c r="O555" s="1" t="s">
        <v>39</v>
      </c>
      <c r="P555" s="4">
        <v>18.350000000000001</v>
      </c>
      <c r="Q555" s="5">
        <f t="shared" si="24"/>
        <v>22.02</v>
      </c>
      <c r="R555" s="4">
        <v>22.94</v>
      </c>
      <c r="S555" s="5">
        <f t="shared" si="25"/>
        <v>27.528000000000002</v>
      </c>
      <c r="T555" s="4">
        <v>27.52</v>
      </c>
      <c r="U555" s="5">
        <f t="shared" si="26"/>
        <v>33.024000000000001</v>
      </c>
      <c r="V555" s="1" t="s">
        <v>31</v>
      </c>
    </row>
    <row r="556" spans="1:22" x14ac:dyDescent="0.2">
      <c r="A556" s="1">
        <v>5402055</v>
      </c>
      <c r="B556" s="1" t="s">
        <v>2798</v>
      </c>
      <c r="C556" s="1" t="str">
        <f>"9788024638058"</f>
        <v>9788024638058</v>
      </c>
      <c r="D556" s="1" t="str">
        <f>"9788024638423"</f>
        <v>9788024638423</v>
      </c>
      <c r="E556" s="2" t="s">
        <v>2799</v>
      </c>
      <c r="F556" s="2" t="s">
        <v>2789</v>
      </c>
      <c r="G556" s="1" t="s">
        <v>24</v>
      </c>
      <c r="J556" s="1" t="s">
        <v>2800</v>
      </c>
      <c r="K556" s="1" t="s">
        <v>79</v>
      </c>
      <c r="L556" s="1" t="s">
        <v>2801</v>
      </c>
      <c r="M556" s="1" t="s">
        <v>2802</v>
      </c>
      <c r="N556" s="1" t="s">
        <v>2803</v>
      </c>
      <c r="O556" s="1" t="s">
        <v>39</v>
      </c>
      <c r="P556" s="4">
        <v>13.76</v>
      </c>
      <c r="Q556" s="5">
        <f t="shared" si="24"/>
        <v>16.512</v>
      </c>
      <c r="R556" s="4">
        <v>17.2</v>
      </c>
      <c r="S556" s="5">
        <f t="shared" si="25"/>
        <v>20.639999999999997</v>
      </c>
      <c r="T556" s="4">
        <v>20.64</v>
      </c>
      <c r="U556" s="5">
        <f t="shared" si="26"/>
        <v>24.768000000000001</v>
      </c>
      <c r="V556" s="1" t="s">
        <v>31</v>
      </c>
    </row>
    <row r="557" spans="1:22" x14ac:dyDescent="0.2">
      <c r="A557" s="1">
        <v>5402056</v>
      </c>
      <c r="B557" s="1" t="s">
        <v>2804</v>
      </c>
      <c r="C557" s="1" t="str">
        <f>"9788024632018"</f>
        <v>9788024632018</v>
      </c>
      <c r="D557" s="1" t="str">
        <f>"9788024632155"</f>
        <v>9788024632155</v>
      </c>
      <c r="E557" s="2" t="s">
        <v>2777</v>
      </c>
      <c r="F557" s="2" t="s">
        <v>2789</v>
      </c>
      <c r="G557" s="1" t="s">
        <v>24</v>
      </c>
      <c r="J557" s="1" t="s">
        <v>2805</v>
      </c>
      <c r="K557" s="1" t="s">
        <v>150</v>
      </c>
      <c r="L557" s="1" t="s">
        <v>2806</v>
      </c>
      <c r="M557" s="1">
        <v>230</v>
      </c>
      <c r="N557" s="1" t="s">
        <v>2807</v>
      </c>
      <c r="O557" s="1" t="s">
        <v>39</v>
      </c>
      <c r="P557" s="4">
        <v>16.510000000000002</v>
      </c>
      <c r="Q557" s="5">
        <f t="shared" si="24"/>
        <v>19.812000000000001</v>
      </c>
      <c r="R557" s="4">
        <v>20.64</v>
      </c>
      <c r="S557" s="5">
        <f t="shared" si="25"/>
        <v>24.768000000000001</v>
      </c>
      <c r="T557" s="4">
        <v>24.77</v>
      </c>
      <c r="U557" s="5">
        <f t="shared" si="26"/>
        <v>29.723999999999997</v>
      </c>
      <c r="V557" s="1" t="s">
        <v>31</v>
      </c>
    </row>
    <row r="558" spans="1:22" x14ac:dyDescent="0.2">
      <c r="A558" s="1">
        <v>5402057</v>
      </c>
      <c r="B558" s="1" t="s">
        <v>2808</v>
      </c>
      <c r="C558" s="1" t="str">
        <f>"9788024636238"</f>
        <v>9788024636238</v>
      </c>
      <c r="D558" s="1" t="str">
        <f>"9788024636467"</f>
        <v>9788024636467</v>
      </c>
      <c r="E558" s="2" t="s">
        <v>2700</v>
      </c>
      <c r="F558" s="2" t="s">
        <v>2789</v>
      </c>
      <c r="G558" s="1" t="s">
        <v>24</v>
      </c>
      <c r="J558" s="1" t="s">
        <v>2809</v>
      </c>
      <c r="K558" s="1" t="s">
        <v>1945</v>
      </c>
      <c r="L558" s="1" t="s">
        <v>2810</v>
      </c>
      <c r="M558" s="1" t="s">
        <v>2811</v>
      </c>
      <c r="N558" s="1" t="s">
        <v>2812</v>
      </c>
      <c r="O558" s="1" t="s">
        <v>39</v>
      </c>
      <c r="P558" s="4">
        <v>18.350000000000001</v>
      </c>
      <c r="Q558" s="5">
        <f t="shared" si="24"/>
        <v>22.02</v>
      </c>
      <c r="R558" s="4">
        <v>22.94</v>
      </c>
      <c r="S558" s="5">
        <f t="shared" si="25"/>
        <v>27.528000000000002</v>
      </c>
      <c r="T558" s="4">
        <v>27.52</v>
      </c>
      <c r="U558" s="5">
        <f t="shared" si="26"/>
        <v>33.024000000000001</v>
      </c>
      <c r="V558" s="1" t="s">
        <v>31</v>
      </c>
    </row>
    <row r="559" spans="1:22" x14ac:dyDescent="0.2">
      <c r="A559" s="1">
        <v>5402058</v>
      </c>
      <c r="B559" s="1" t="s">
        <v>2813</v>
      </c>
      <c r="C559" s="1" t="str">
        <f>"9788024638652"</f>
        <v>9788024638652</v>
      </c>
      <c r="D559" s="1" t="str">
        <f>"9788024639062"</f>
        <v>9788024639062</v>
      </c>
      <c r="E559" s="2" t="s">
        <v>2777</v>
      </c>
      <c r="F559" s="2" t="s">
        <v>2789</v>
      </c>
      <c r="G559" s="1" t="s">
        <v>24</v>
      </c>
      <c r="J559" s="1" t="s">
        <v>2814</v>
      </c>
      <c r="K559" s="1" t="s">
        <v>248</v>
      </c>
      <c r="O559" s="1" t="s">
        <v>39</v>
      </c>
      <c r="P559" s="4">
        <v>13.76</v>
      </c>
      <c r="Q559" s="5">
        <f t="shared" si="24"/>
        <v>16.512</v>
      </c>
      <c r="R559" s="4">
        <v>17.2</v>
      </c>
      <c r="S559" s="5">
        <f t="shared" si="25"/>
        <v>20.639999999999997</v>
      </c>
      <c r="T559" s="4">
        <v>20.64</v>
      </c>
      <c r="U559" s="5">
        <f t="shared" si="26"/>
        <v>24.768000000000001</v>
      </c>
      <c r="V559" s="1" t="s">
        <v>32</v>
      </c>
    </row>
    <row r="560" spans="1:22" x14ac:dyDescent="0.2">
      <c r="A560" s="1">
        <v>5402059</v>
      </c>
      <c r="B560" s="1" t="s">
        <v>2815</v>
      </c>
      <c r="C560" s="1" t="str">
        <f>"9788024638089"</f>
        <v>9788024638089</v>
      </c>
      <c r="D560" s="1" t="str">
        <f>"9788024638454"</f>
        <v>9788024638454</v>
      </c>
      <c r="E560" s="2" t="s">
        <v>2611</v>
      </c>
      <c r="F560" s="2" t="s">
        <v>2789</v>
      </c>
      <c r="G560" s="1" t="s">
        <v>24</v>
      </c>
      <c r="J560" s="1" t="s">
        <v>2816</v>
      </c>
      <c r="K560" s="1" t="s">
        <v>181</v>
      </c>
      <c r="L560" s="1" t="s">
        <v>2817</v>
      </c>
      <c r="M560" s="1" t="s">
        <v>2818</v>
      </c>
      <c r="N560" s="1" t="s">
        <v>2819</v>
      </c>
      <c r="O560" s="1" t="s">
        <v>39</v>
      </c>
      <c r="P560" s="4">
        <v>13.76</v>
      </c>
      <c r="Q560" s="5">
        <f t="shared" si="24"/>
        <v>16.512</v>
      </c>
      <c r="R560" s="4">
        <v>17.2</v>
      </c>
      <c r="S560" s="5">
        <f t="shared" si="25"/>
        <v>20.639999999999997</v>
      </c>
      <c r="T560" s="4">
        <v>20.64</v>
      </c>
      <c r="U560" s="5">
        <f t="shared" si="26"/>
        <v>24.768000000000001</v>
      </c>
      <c r="V560" s="1" t="s">
        <v>31</v>
      </c>
    </row>
    <row r="561" spans="1:22" x14ac:dyDescent="0.2">
      <c r="A561" s="1">
        <v>5402060</v>
      </c>
      <c r="B561" s="1" t="s">
        <v>2820</v>
      </c>
      <c r="C561" s="1" t="str">
        <f>"9788024634203"</f>
        <v>9788024634203</v>
      </c>
      <c r="D561" s="1" t="str">
        <f>"9788024638850"</f>
        <v>9788024638850</v>
      </c>
      <c r="E561" s="2" t="s">
        <v>2777</v>
      </c>
      <c r="F561" s="2" t="s">
        <v>2789</v>
      </c>
      <c r="G561" s="1" t="s">
        <v>24</v>
      </c>
      <c r="J561" s="1" t="s">
        <v>2821</v>
      </c>
      <c r="K561" s="1" t="s">
        <v>248</v>
      </c>
      <c r="O561" s="1" t="s">
        <v>39</v>
      </c>
      <c r="P561" s="4">
        <v>13.76</v>
      </c>
      <c r="Q561" s="5">
        <f t="shared" si="24"/>
        <v>16.512</v>
      </c>
      <c r="R561" s="4">
        <v>17.2</v>
      </c>
      <c r="S561" s="5">
        <f t="shared" si="25"/>
        <v>20.639999999999997</v>
      </c>
      <c r="T561" s="4">
        <v>20.64</v>
      </c>
      <c r="U561" s="5">
        <f t="shared" si="26"/>
        <v>24.768000000000001</v>
      </c>
      <c r="V561" s="1" t="s">
        <v>32</v>
      </c>
    </row>
    <row r="562" spans="1:22" x14ac:dyDescent="0.2">
      <c r="A562" s="1">
        <v>5436542</v>
      </c>
      <c r="B562" s="1" t="s">
        <v>2822</v>
      </c>
      <c r="C562" s="1" t="str">
        <f>"9788024624136"</f>
        <v>9788024624136</v>
      </c>
      <c r="D562" s="1" t="str">
        <f>"9788024625447"</f>
        <v>9788024625447</v>
      </c>
      <c r="E562" s="2" t="s">
        <v>206</v>
      </c>
      <c r="F562" s="2" t="s">
        <v>2823</v>
      </c>
      <c r="G562" s="1" t="s">
        <v>24</v>
      </c>
      <c r="J562" s="1" t="s">
        <v>612</v>
      </c>
      <c r="K562" s="1" t="s">
        <v>2824</v>
      </c>
      <c r="L562" s="1" t="s">
        <v>2825</v>
      </c>
      <c r="M562" s="1" t="s">
        <v>615</v>
      </c>
      <c r="N562" s="1" t="s">
        <v>2826</v>
      </c>
      <c r="O562" s="1" t="s">
        <v>30</v>
      </c>
      <c r="P562" s="4">
        <v>13.76</v>
      </c>
      <c r="Q562" s="5">
        <f t="shared" si="24"/>
        <v>16.512</v>
      </c>
      <c r="R562" s="4">
        <v>17.2</v>
      </c>
      <c r="S562" s="5">
        <f t="shared" si="25"/>
        <v>20.639999999999997</v>
      </c>
      <c r="T562" s="4">
        <v>20.64</v>
      </c>
      <c r="U562" s="5">
        <f t="shared" si="26"/>
        <v>24.768000000000001</v>
      </c>
      <c r="V562" s="1" t="s">
        <v>31</v>
      </c>
    </row>
    <row r="563" spans="1:22" x14ac:dyDescent="0.2">
      <c r="A563" s="1">
        <v>5436592</v>
      </c>
      <c r="B563" s="1" t="s">
        <v>2827</v>
      </c>
      <c r="C563" s="1" t="str">
        <f>"9788024631363"</f>
        <v>9788024631363</v>
      </c>
      <c r="D563" s="1" t="str">
        <f>"9788024631400"</f>
        <v>9788024631400</v>
      </c>
      <c r="E563" s="2" t="s">
        <v>2616</v>
      </c>
      <c r="F563" s="2" t="s">
        <v>2823</v>
      </c>
      <c r="G563" s="1" t="s">
        <v>24</v>
      </c>
      <c r="J563" s="1" t="s">
        <v>2828</v>
      </c>
      <c r="K563" s="1" t="s">
        <v>150</v>
      </c>
      <c r="L563" s="1" t="s">
        <v>2829</v>
      </c>
      <c r="M563" s="1" t="s">
        <v>2830</v>
      </c>
      <c r="N563" s="1" t="s">
        <v>2831</v>
      </c>
      <c r="O563" s="1" t="s">
        <v>39</v>
      </c>
      <c r="P563" s="4">
        <v>21.1</v>
      </c>
      <c r="Q563" s="5">
        <f t="shared" si="24"/>
        <v>25.32</v>
      </c>
      <c r="R563" s="4">
        <v>26.38</v>
      </c>
      <c r="S563" s="5">
        <f t="shared" si="25"/>
        <v>31.655999999999999</v>
      </c>
      <c r="T563" s="4">
        <v>31.65</v>
      </c>
      <c r="U563" s="5">
        <f t="shared" si="26"/>
        <v>37.979999999999997</v>
      </c>
      <c r="V563" s="1" t="s">
        <v>31</v>
      </c>
    </row>
    <row r="564" spans="1:22" x14ac:dyDescent="0.2">
      <c r="A564" s="1">
        <v>5436593</v>
      </c>
      <c r="B564" s="1" t="s">
        <v>2832</v>
      </c>
      <c r="C564" s="1" t="str">
        <f>"9788024635835"</f>
        <v>9788024635835</v>
      </c>
      <c r="D564" s="1" t="str">
        <f>"9788024635842"</f>
        <v>9788024635842</v>
      </c>
      <c r="E564" s="2" t="s">
        <v>2294</v>
      </c>
      <c r="F564" s="2" t="s">
        <v>2823</v>
      </c>
      <c r="G564" s="1" t="s">
        <v>24</v>
      </c>
      <c r="J564" s="1" t="s">
        <v>2833</v>
      </c>
      <c r="K564" s="1" t="s">
        <v>2834</v>
      </c>
      <c r="L564" s="1" t="s">
        <v>2835</v>
      </c>
      <c r="M564" s="1" t="s">
        <v>2836</v>
      </c>
      <c r="N564" s="1" t="s">
        <v>2837</v>
      </c>
      <c r="O564" s="1" t="s">
        <v>30</v>
      </c>
      <c r="P564" s="4">
        <v>17.43</v>
      </c>
      <c r="Q564" s="5">
        <f t="shared" si="24"/>
        <v>20.916</v>
      </c>
      <c r="R564" s="4">
        <v>21.79</v>
      </c>
      <c r="S564" s="5">
        <f t="shared" si="25"/>
        <v>26.148</v>
      </c>
      <c r="T564" s="4">
        <v>26.15</v>
      </c>
      <c r="U564" s="5">
        <f t="shared" si="26"/>
        <v>31.379999999999995</v>
      </c>
      <c r="V564" s="1" t="s">
        <v>31</v>
      </c>
    </row>
    <row r="565" spans="1:22" x14ac:dyDescent="0.2">
      <c r="A565" s="1">
        <v>5436594</v>
      </c>
      <c r="B565" s="1" t="s">
        <v>2838</v>
      </c>
      <c r="C565" s="1" t="str">
        <f>"9788024626888"</f>
        <v>9788024626888</v>
      </c>
      <c r="D565" s="1" t="str">
        <f>"9788024627045"</f>
        <v>9788024627045</v>
      </c>
      <c r="E565" s="2" t="s">
        <v>868</v>
      </c>
      <c r="F565" s="2" t="s">
        <v>2823</v>
      </c>
      <c r="G565" s="1" t="s">
        <v>24</v>
      </c>
      <c r="J565" s="1" t="s">
        <v>2839</v>
      </c>
      <c r="K565" s="1" t="s">
        <v>64</v>
      </c>
      <c r="L565" s="1" t="s">
        <v>2840</v>
      </c>
      <c r="M565" s="1" t="s">
        <v>2841</v>
      </c>
      <c r="N565" s="1" t="s">
        <v>2842</v>
      </c>
      <c r="O565" s="1" t="s">
        <v>39</v>
      </c>
      <c r="P565" s="4">
        <v>13.76</v>
      </c>
      <c r="Q565" s="5">
        <f t="shared" si="24"/>
        <v>16.512</v>
      </c>
      <c r="R565" s="4">
        <v>17.2</v>
      </c>
      <c r="S565" s="5">
        <f t="shared" si="25"/>
        <v>20.639999999999997</v>
      </c>
      <c r="T565" s="4">
        <v>20.64</v>
      </c>
      <c r="U565" s="5">
        <f t="shared" si="26"/>
        <v>24.768000000000001</v>
      </c>
      <c r="V565" s="1" t="s">
        <v>31</v>
      </c>
    </row>
    <row r="566" spans="1:22" x14ac:dyDescent="0.2">
      <c r="A566" s="1">
        <v>5436595</v>
      </c>
      <c r="B566" s="1" t="s">
        <v>2843</v>
      </c>
      <c r="C566" s="1" t="str">
        <f>"9788024634630"</f>
        <v>9788024634630</v>
      </c>
      <c r="D566" s="1" t="str">
        <f>"9788024634999"</f>
        <v>9788024634999</v>
      </c>
      <c r="E566" s="2" t="s">
        <v>2356</v>
      </c>
      <c r="F566" s="2" t="s">
        <v>2823</v>
      </c>
      <c r="G566" s="1" t="s">
        <v>24</v>
      </c>
      <c r="J566" s="1" t="s">
        <v>2844</v>
      </c>
      <c r="K566" s="1" t="s">
        <v>72</v>
      </c>
      <c r="L566" s="1" t="s">
        <v>2845</v>
      </c>
      <c r="M566" s="1" t="s">
        <v>2846</v>
      </c>
      <c r="N566" s="1" t="s">
        <v>2847</v>
      </c>
      <c r="O566" s="1" t="s">
        <v>39</v>
      </c>
      <c r="P566" s="4">
        <v>16.510000000000002</v>
      </c>
      <c r="Q566" s="5">
        <f t="shared" si="24"/>
        <v>19.812000000000001</v>
      </c>
      <c r="R566" s="4">
        <v>20.64</v>
      </c>
      <c r="S566" s="5">
        <f t="shared" si="25"/>
        <v>24.768000000000001</v>
      </c>
      <c r="T566" s="4">
        <v>24.77</v>
      </c>
      <c r="U566" s="5">
        <f t="shared" si="26"/>
        <v>29.723999999999997</v>
      </c>
      <c r="V566" s="1" t="s">
        <v>31</v>
      </c>
    </row>
    <row r="567" spans="1:22" x14ac:dyDescent="0.2">
      <c r="A567" s="1">
        <v>5436596</v>
      </c>
      <c r="B567" s="1" t="s">
        <v>2848</v>
      </c>
      <c r="C567" s="1" t="str">
        <f>"9788024637167"</f>
        <v>9788024637167</v>
      </c>
      <c r="D567" s="1" t="str">
        <f>"9788024638812"</f>
        <v>9788024638812</v>
      </c>
      <c r="E567" s="2" t="s">
        <v>2849</v>
      </c>
      <c r="F567" s="2" t="s">
        <v>2823</v>
      </c>
      <c r="G567" s="1" t="s">
        <v>24</v>
      </c>
      <c r="J567" s="1" t="s">
        <v>2850</v>
      </c>
      <c r="K567" s="1" t="s">
        <v>2851</v>
      </c>
      <c r="L567" s="1" t="s">
        <v>2852</v>
      </c>
      <c r="M567" s="1" t="s">
        <v>2853</v>
      </c>
      <c r="N567" s="1" t="s">
        <v>2854</v>
      </c>
      <c r="O567" s="1" t="s">
        <v>39</v>
      </c>
      <c r="P567" s="4">
        <v>13.76</v>
      </c>
      <c r="Q567" s="5">
        <f t="shared" si="24"/>
        <v>16.512</v>
      </c>
      <c r="R567" s="4">
        <v>17.2</v>
      </c>
      <c r="S567" s="5">
        <f t="shared" si="25"/>
        <v>20.639999999999997</v>
      </c>
      <c r="T567" s="4">
        <v>20.64</v>
      </c>
      <c r="U567" s="5">
        <f t="shared" si="26"/>
        <v>24.768000000000001</v>
      </c>
      <c r="V567" s="1" t="s">
        <v>31</v>
      </c>
    </row>
    <row r="568" spans="1:22" x14ac:dyDescent="0.2">
      <c r="A568" s="1">
        <v>5436597</v>
      </c>
      <c r="B568" s="1" t="s">
        <v>2855</v>
      </c>
      <c r="C568" s="1" t="str">
        <f>"9788024624969"</f>
        <v>9788024624969</v>
      </c>
      <c r="D568" s="1" t="str">
        <f>"9788024631882"</f>
        <v>9788024631882</v>
      </c>
      <c r="E568" s="2" t="s">
        <v>2849</v>
      </c>
      <c r="F568" s="2" t="s">
        <v>2823</v>
      </c>
      <c r="G568" s="1" t="s">
        <v>24</v>
      </c>
      <c r="J568" s="1" t="s">
        <v>2856</v>
      </c>
      <c r="K568" s="1" t="s">
        <v>2857</v>
      </c>
      <c r="L568" s="1" t="s">
        <v>2858</v>
      </c>
      <c r="M568" s="1" t="s">
        <v>2859</v>
      </c>
      <c r="N568" s="1" t="s">
        <v>2860</v>
      </c>
      <c r="O568" s="1" t="s">
        <v>39</v>
      </c>
      <c r="P568" s="4">
        <v>21.1</v>
      </c>
      <c r="Q568" s="5">
        <f t="shared" si="24"/>
        <v>25.32</v>
      </c>
      <c r="R568" s="4">
        <v>26.38</v>
      </c>
      <c r="S568" s="5">
        <f t="shared" si="25"/>
        <v>31.655999999999999</v>
      </c>
      <c r="T568" s="4">
        <v>31.65</v>
      </c>
      <c r="U568" s="5">
        <f t="shared" si="26"/>
        <v>37.979999999999997</v>
      </c>
      <c r="V568" s="1" t="s">
        <v>31</v>
      </c>
    </row>
    <row r="569" spans="1:22" x14ac:dyDescent="0.2">
      <c r="A569" s="1">
        <v>5436598</v>
      </c>
      <c r="B569" s="1" t="s">
        <v>2861</v>
      </c>
      <c r="C569" s="1" t="str">
        <f>"9788024637082"</f>
        <v>9788024637082</v>
      </c>
      <c r="D569" s="1" t="str">
        <f>"9788024637341"</f>
        <v>9788024637341</v>
      </c>
      <c r="E569" s="2" t="s">
        <v>2605</v>
      </c>
      <c r="F569" s="2" t="s">
        <v>2823</v>
      </c>
      <c r="G569" s="1" t="s">
        <v>24</v>
      </c>
      <c r="J569" s="1" t="s">
        <v>2862</v>
      </c>
      <c r="K569" s="1" t="s">
        <v>36</v>
      </c>
      <c r="L569" s="1" t="s">
        <v>2863</v>
      </c>
      <c r="M569" s="1" t="s">
        <v>2864</v>
      </c>
      <c r="N569" s="1" t="s">
        <v>2865</v>
      </c>
      <c r="O569" s="1" t="s">
        <v>39</v>
      </c>
      <c r="P569" s="4">
        <v>13.76</v>
      </c>
      <c r="Q569" s="5">
        <f t="shared" si="24"/>
        <v>16.512</v>
      </c>
      <c r="R569" s="4">
        <v>17.2</v>
      </c>
      <c r="S569" s="5">
        <f t="shared" si="25"/>
        <v>20.639999999999997</v>
      </c>
      <c r="T569" s="4">
        <v>20.64</v>
      </c>
      <c r="U569" s="5">
        <f t="shared" si="26"/>
        <v>24.768000000000001</v>
      </c>
      <c r="V569" s="1" t="s">
        <v>31</v>
      </c>
    </row>
    <row r="570" spans="1:22" x14ac:dyDescent="0.2">
      <c r="A570" s="1">
        <v>5436599</v>
      </c>
      <c r="B570" s="1" t="s">
        <v>2866</v>
      </c>
      <c r="C570" s="1" t="str">
        <f>"9788024638324"</f>
        <v>9788024638324</v>
      </c>
      <c r="D570" s="1" t="str">
        <f>"9788024638508"</f>
        <v>9788024638508</v>
      </c>
      <c r="E570" s="2" t="s">
        <v>2849</v>
      </c>
      <c r="F570" s="2" t="s">
        <v>2823</v>
      </c>
      <c r="G570" s="1" t="s">
        <v>24</v>
      </c>
      <c r="J570" s="1" t="s">
        <v>2867</v>
      </c>
      <c r="K570" s="1" t="s">
        <v>341</v>
      </c>
      <c r="L570" s="1" t="s">
        <v>2868</v>
      </c>
      <c r="M570" s="1" t="s">
        <v>1175</v>
      </c>
      <c r="N570" s="1" t="s">
        <v>2869</v>
      </c>
      <c r="O570" s="1" t="s">
        <v>39</v>
      </c>
      <c r="P570" s="4">
        <v>13.76</v>
      </c>
      <c r="Q570" s="5">
        <f t="shared" si="24"/>
        <v>16.512</v>
      </c>
      <c r="R570" s="4">
        <v>17.2</v>
      </c>
      <c r="S570" s="5">
        <f t="shared" si="25"/>
        <v>20.639999999999997</v>
      </c>
      <c r="T570" s="4">
        <v>20.64</v>
      </c>
      <c r="U570" s="5">
        <f t="shared" si="26"/>
        <v>24.768000000000001</v>
      </c>
      <c r="V570" s="1" t="s">
        <v>31</v>
      </c>
    </row>
    <row r="571" spans="1:22" x14ac:dyDescent="0.2">
      <c r="A571" s="1">
        <v>5436600</v>
      </c>
      <c r="B571" s="1" t="s">
        <v>2870</v>
      </c>
      <c r="C571" s="1" t="str">
        <f>"9788024634401"</f>
        <v>9788024634401</v>
      </c>
      <c r="D571" s="1" t="str">
        <f>"9788024635828"</f>
        <v>9788024635828</v>
      </c>
      <c r="E571" s="2" t="s">
        <v>2799</v>
      </c>
      <c r="F571" s="2" t="s">
        <v>2823</v>
      </c>
      <c r="G571" s="1" t="s">
        <v>24</v>
      </c>
      <c r="J571" s="1" t="s">
        <v>2384</v>
      </c>
      <c r="K571" s="1" t="s">
        <v>72</v>
      </c>
      <c r="M571" s="1" t="s">
        <v>436</v>
      </c>
      <c r="O571" s="1" t="s">
        <v>30</v>
      </c>
      <c r="P571" s="4">
        <v>13.76</v>
      </c>
      <c r="Q571" s="5">
        <f t="shared" si="24"/>
        <v>16.512</v>
      </c>
      <c r="R571" s="4">
        <v>17.2</v>
      </c>
      <c r="S571" s="5">
        <f t="shared" si="25"/>
        <v>20.639999999999997</v>
      </c>
      <c r="T571" s="4">
        <v>20.64</v>
      </c>
      <c r="U571" s="5">
        <f t="shared" si="26"/>
        <v>24.768000000000001</v>
      </c>
      <c r="V571" s="1" t="s">
        <v>32</v>
      </c>
    </row>
    <row r="572" spans="1:22" x14ac:dyDescent="0.2">
      <c r="A572" s="1">
        <v>5436601</v>
      </c>
      <c r="B572" s="1" t="s">
        <v>2871</v>
      </c>
      <c r="C572" s="1" t="str">
        <f>"9788024631158"</f>
        <v>9788024631158</v>
      </c>
      <c r="D572" s="1" t="str">
        <f>"9788024631233"</f>
        <v>9788024631233</v>
      </c>
      <c r="E572" s="2" t="s">
        <v>1480</v>
      </c>
      <c r="F572" s="2" t="s">
        <v>2823</v>
      </c>
      <c r="G572" s="1" t="s">
        <v>24</v>
      </c>
      <c r="J572" s="1" t="s">
        <v>2872</v>
      </c>
      <c r="K572" s="1" t="s">
        <v>181</v>
      </c>
      <c r="L572" s="1" t="s">
        <v>2873</v>
      </c>
      <c r="M572" s="1" t="s">
        <v>1353</v>
      </c>
      <c r="N572" s="1" t="s">
        <v>2874</v>
      </c>
      <c r="O572" s="1" t="s">
        <v>39</v>
      </c>
      <c r="P572" s="4">
        <v>17.43</v>
      </c>
      <c r="Q572" s="5">
        <f t="shared" si="24"/>
        <v>20.916</v>
      </c>
      <c r="R572" s="4">
        <v>21.79</v>
      </c>
      <c r="S572" s="5">
        <f t="shared" si="25"/>
        <v>26.148</v>
      </c>
      <c r="T572" s="4">
        <v>26.15</v>
      </c>
      <c r="U572" s="5">
        <f t="shared" si="26"/>
        <v>31.379999999999995</v>
      </c>
      <c r="V572" s="1" t="s">
        <v>31</v>
      </c>
    </row>
    <row r="573" spans="1:22" x14ac:dyDescent="0.2">
      <c r="A573" s="1">
        <v>5436602</v>
      </c>
      <c r="B573" s="1" t="s">
        <v>2875</v>
      </c>
      <c r="C573" s="1" t="str">
        <f>"9788024635927"</f>
        <v>9788024635927</v>
      </c>
      <c r="D573" s="1" t="str">
        <f>"9788024635934"</f>
        <v>9788024635934</v>
      </c>
      <c r="E573" s="2" t="s">
        <v>2799</v>
      </c>
      <c r="F573" s="2" t="s">
        <v>2823</v>
      </c>
      <c r="G573" s="1" t="s">
        <v>24</v>
      </c>
      <c r="J573" s="1" t="s">
        <v>2876</v>
      </c>
      <c r="K573" s="1" t="s">
        <v>242</v>
      </c>
      <c r="L573" s="1" t="s">
        <v>2877</v>
      </c>
      <c r="M573" s="1" t="s">
        <v>2878</v>
      </c>
      <c r="N573" s="1" t="s">
        <v>2879</v>
      </c>
      <c r="O573" s="1" t="s">
        <v>39</v>
      </c>
      <c r="P573" s="4">
        <v>13.76</v>
      </c>
      <c r="Q573" s="5">
        <f t="shared" si="24"/>
        <v>16.512</v>
      </c>
      <c r="R573" s="4">
        <v>17.2</v>
      </c>
      <c r="S573" s="5">
        <f t="shared" si="25"/>
        <v>20.639999999999997</v>
      </c>
      <c r="T573" s="4">
        <v>20.64</v>
      </c>
      <c r="U573" s="5">
        <f t="shared" si="26"/>
        <v>24.768000000000001</v>
      </c>
      <c r="V573" s="1" t="s">
        <v>31</v>
      </c>
    </row>
    <row r="574" spans="1:22" x14ac:dyDescent="0.2">
      <c r="A574" s="1">
        <v>5436603</v>
      </c>
      <c r="B574" s="1" t="s">
        <v>2880</v>
      </c>
      <c r="C574" s="1" t="str">
        <f>"9788024639178"</f>
        <v>9788024639178</v>
      </c>
      <c r="D574" s="1" t="str">
        <f>"9788024639253"</f>
        <v>9788024639253</v>
      </c>
      <c r="E574" s="2" t="s">
        <v>2799</v>
      </c>
      <c r="F574" s="2" t="s">
        <v>2823</v>
      </c>
      <c r="G574" s="1" t="s">
        <v>24</v>
      </c>
      <c r="J574" s="1" t="s">
        <v>2881</v>
      </c>
      <c r="K574" s="1" t="s">
        <v>341</v>
      </c>
      <c r="L574" s="1" t="s">
        <v>2882</v>
      </c>
      <c r="M574" s="1" t="s">
        <v>2883</v>
      </c>
      <c r="N574" s="1" t="s">
        <v>2884</v>
      </c>
      <c r="O574" s="1" t="s">
        <v>39</v>
      </c>
      <c r="P574" s="4">
        <v>17.43</v>
      </c>
      <c r="Q574" s="5">
        <f t="shared" si="24"/>
        <v>20.916</v>
      </c>
      <c r="R574" s="4">
        <v>21.79</v>
      </c>
      <c r="S574" s="5">
        <f t="shared" si="25"/>
        <v>26.148</v>
      </c>
      <c r="T574" s="4">
        <v>26.15</v>
      </c>
      <c r="U574" s="5">
        <f t="shared" si="26"/>
        <v>31.379999999999995</v>
      </c>
      <c r="V574" s="1" t="s">
        <v>31</v>
      </c>
    </row>
    <row r="575" spans="1:22" x14ac:dyDescent="0.2">
      <c r="A575" s="1">
        <v>5436604</v>
      </c>
      <c r="B575" s="1" t="s">
        <v>338</v>
      </c>
      <c r="C575" s="1" t="str">
        <f>"9788024639161"</f>
        <v>9788024639161</v>
      </c>
      <c r="D575" s="1" t="str">
        <f>"9788024639390"</f>
        <v>9788024639390</v>
      </c>
      <c r="E575" s="2" t="s">
        <v>2799</v>
      </c>
      <c r="F575" s="2" t="s">
        <v>2823</v>
      </c>
      <c r="G575" s="1" t="s">
        <v>24</v>
      </c>
      <c r="H575" s="1">
        <v>2</v>
      </c>
      <c r="J575" s="1" t="s">
        <v>340</v>
      </c>
      <c r="K575" s="1" t="s">
        <v>341</v>
      </c>
      <c r="L575" s="1" t="s">
        <v>2885</v>
      </c>
      <c r="M575" s="1" t="s">
        <v>2886</v>
      </c>
      <c r="N575" s="1" t="s">
        <v>2887</v>
      </c>
      <c r="O575" s="1" t="s">
        <v>39</v>
      </c>
      <c r="P575" s="4">
        <v>14.68</v>
      </c>
      <c r="Q575" s="5">
        <f t="shared" si="24"/>
        <v>17.616</v>
      </c>
      <c r="R575" s="4">
        <v>18.350000000000001</v>
      </c>
      <c r="S575" s="5">
        <f t="shared" si="25"/>
        <v>22.02</v>
      </c>
      <c r="T575" s="4">
        <v>22.02</v>
      </c>
      <c r="U575" s="5">
        <f t="shared" si="26"/>
        <v>26.423999999999999</v>
      </c>
      <c r="V575" s="1" t="s">
        <v>31</v>
      </c>
    </row>
    <row r="576" spans="1:22" x14ac:dyDescent="0.2">
      <c r="A576" s="1">
        <v>5436605</v>
      </c>
      <c r="B576" s="1" t="s">
        <v>2888</v>
      </c>
      <c r="C576" s="1" t="str">
        <f>"9788024636610"</f>
        <v>9788024636610</v>
      </c>
      <c r="D576" s="1" t="str">
        <f>"9788024636771"</f>
        <v>9788024636771</v>
      </c>
      <c r="E576" s="2" t="s">
        <v>2849</v>
      </c>
      <c r="F576" s="2" t="s">
        <v>2823</v>
      </c>
      <c r="G576" s="1" t="s">
        <v>24</v>
      </c>
      <c r="I576" s="1" t="s">
        <v>2889</v>
      </c>
      <c r="J576" s="1" t="s">
        <v>2890</v>
      </c>
      <c r="K576" s="1" t="s">
        <v>64</v>
      </c>
      <c r="L576" s="1" t="s">
        <v>2891</v>
      </c>
      <c r="M576" s="1" t="s">
        <v>2892</v>
      </c>
      <c r="N576" s="1" t="s">
        <v>2893</v>
      </c>
      <c r="O576" s="1" t="s">
        <v>30</v>
      </c>
      <c r="P576" s="4">
        <v>18.350000000000001</v>
      </c>
      <c r="Q576" s="5">
        <f t="shared" si="24"/>
        <v>22.02</v>
      </c>
      <c r="R576" s="4">
        <v>22.94</v>
      </c>
      <c r="S576" s="5">
        <f t="shared" si="25"/>
        <v>27.528000000000002</v>
      </c>
      <c r="T576" s="4">
        <v>27.52</v>
      </c>
      <c r="U576" s="5">
        <f t="shared" si="26"/>
        <v>33.024000000000001</v>
      </c>
      <c r="V576" s="1" t="s">
        <v>31</v>
      </c>
    </row>
    <row r="577" spans="1:22" x14ac:dyDescent="0.2">
      <c r="A577" s="1">
        <v>5436606</v>
      </c>
      <c r="B577" s="1" t="s">
        <v>2894</v>
      </c>
      <c r="C577" s="1" t="str">
        <f>"9788024636993"</f>
        <v>9788024636993</v>
      </c>
      <c r="D577" s="1" t="str">
        <f>"9788024637297"</f>
        <v>9788024637297</v>
      </c>
      <c r="E577" s="2" t="s">
        <v>2799</v>
      </c>
      <c r="F577" s="2" t="s">
        <v>2823</v>
      </c>
      <c r="G577" s="1" t="s">
        <v>24</v>
      </c>
      <c r="I577" s="1" t="s">
        <v>187</v>
      </c>
      <c r="J577" s="1" t="s">
        <v>2895</v>
      </c>
      <c r="K577" s="1" t="s">
        <v>2385</v>
      </c>
      <c r="O577" s="1" t="s">
        <v>30</v>
      </c>
      <c r="P577" s="4">
        <v>17.43</v>
      </c>
      <c r="Q577" s="5">
        <f t="shared" si="24"/>
        <v>20.916</v>
      </c>
      <c r="R577" s="4">
        <v>21.79</v>
      </c>
      <c r="S577" s="5">
        <f t="shared" si="25"/>
        <v>26.148</v>
      </c>
      <c r="T577" s="4">
        <v>26.15</v>
      </c>
      <c r="U577" s="5">
        <f t="shared" si="26"/>
        <v>31.379999999999995</v>
      </c>
      <c r="V577" s="1" t="s">
        <v>32</v>
      </c>
    </row>
    <row r="578" spans="1:22" x14ac:dyDescent="0.2">
      <c r="A578" s="1">
        <v>5436607</v>
      </c>
      <c r="B578" s="1" t="s">
        <v>2896</v>
      </c>
      <c r="C578" s="1" t="str">
        <f>"9788024630090"</f>
        <v>9788024630090</v>
      </c>
      <c r="D578" s="1" t="str">
        <f>"9788024630366"</f>
        <v>9788024630366</v>
      </c>
      <c r="E578" s="2" t="s">
        <v>1480</v>
      </c>
      <c r="F578" s="2" t="s">
        <v>2823</v>
      </c>
      <c r="G578" s="1" t="s">
        <v>24</v>
      </c>
      <c r="J578" s="1" t="s">
        <v>2897</v>
      </c>
      <c r="K578" s="1" t="s">
        <v>43</v>
      </c>
      <c r="L578" s="1" t="s">
        <v>2898</v>
      </c>
      <c r="M578" s="1" t="s">
        <v>2899</v>
      </c>
      <c r="N578" s="1" t="s">
        <v>2900</v>
      </c>
      <c r="O578" s="1" t="s">
        <v>39</v>
      </c>
      <c r="P578" s="4">
        <v>13.76</v>
      </c>
      <c r="Q578" s="5">
        <f t="shared" si="24"/>
        <v>16.512</v>
      </c>
      <c r="R578" s="4">
        <v>17.2</v>
      </c>
      <c r="S578" s="5">
        <f t="shared" si="25"/>
        <v>20.639999999999997</v>
      </c>
      <c r="T578" s="4">
        <v>20.64</v>
      </c>
      <c r="U578" s="5">
        <f t="shared" si="26"/>
        <v>24.768000000000001</v>
      </c>
      <c r="V578" s="1" t="s">
        <v>31</v>
      </c>
    </row>
    <row r="579" spans="1:22" x14ac:dyDescent="0.2">
      <c r="A579" s="1">
        <v>5436608</v>
      </c>
      <c r="B579" s="1" t="s">
        <v>2901</v>
      </c>
      <c r="C579" s="1" t="str">
        <f>"9788024635613"</f>
        <v>9788024635613</v>
      </c>
      <c r="D579" s="1" t="str">
        <f>"9788024635668"</f>
        <v>9788024635668</v>
      </c>
      <c r="E579" s="2" t="s">
        <v>2849</v>
      </c>
      <c r="F579" s="2" t="s">
        <v>2823</v>
      </c>
      <c r="G579" s="1" t="s">
        <v>24</v>
      </c>
      <c r="J579" s="1" t="s">
        <v>2902</v>
      </c>
      <c r="K579" s="1" t="s">
        <v>2903</v>
      </c>
      <c r="L579" s="1" t="s">
        <v>2904</v>
      </c>
      <c r="M579" s="1" t="s">
        <v>2905</v>
      </c>
      <c r="N579" s="1" t="s">
        <v>2906</v>
      </c>
      <c r="O579" s="1" t="s">
        <v>30</v>
      </c>
      <c r="P579" s="4">
        <v>18.350000000000001</v>
      </c>
      <c r="Q579" s="5">
        <f t="shared" ref="Q579:Q642" si="27">P579*1.2</f>
        <v>22.02</v>
      </c>
      <c r="R579" s="4">
        <v>22.94</v>
      </c>
      <c r="S579" s="5">
        <f t="shared" ref="S579:S642" si="28">R579*1.2</f>
        <v>27.528000000000002</v>
      </c>
      <c r="T579" s="4">
        <v>27.52</v>
      </c>
      <c r="U579" s="5">
        <f t="shared" ref="U579:U642" si="29">T579*1.2</f>
        <v>33.024000000000001</v>
      </c>
      <c r="V579" s="1" t="s">
        <v>31</v>
      </c>
    </row>
    <row r="580" spans="1:22" x14ac:dyDescent="0.2">
      <c r="A580" s="1">
        <v>5436609</v>
      </c>
      <c r="B580" s="1" t="s">
        <v>2907</v>
      </c>
      <c r="C580" s="1" t="str">
        <f>"9788024638188"</f>
        <v>9788024638188</v>
      </c>
      <c r="D580" s="1" t="str">
        <f>"9788024638393"</f>
        <v>9788024638393</v>
      </c>
      <c r="E580" s="2" t="s">
        <v>2799</v>
      </c>
      <c r="F580" s="2" t="s">
        <v>2823</v>
      </c>
      <c r="G580" s="1" t="s">
        <v>24</v>
      </c>
      <c r="J580" s="1" t="s">
        <v>2908</v>
      </c>
      <c r="K580" s="1" t="s">
        <v>50</v>
      </c>
      <c r="L580" s="1" t="s">
        <v>2909</v>
      </c>
      <c r="M580" s="1" t="s">
        <v>2910</v>
      </c>
      <c r="N580" s="1" t="s">
        <v>2911</v>
      </c>
      <c r="O580" s="1" t="s">
        <v>39</v>
      </c>
      <c r="P580" s="4">
        <v>15.6</v>
      </c>
      <c r="Q580" s="5">
        <f t="shared" si="27"/>
        <v>18.72</v>
      </c>
      <c r="R580" s="4">
        <v>19.5</v>
      </c>
      <c r="S580" s="5">
        <f t="shared" si="28"/>
        <v>23.4</v>
      </c>
      <c r="T580" s="4">
        <v>23.39</v>
      </c>
      <c r="U580" s="5">
        <f t="shared" si="29"/>
        <v>28.068000000000001</v>
      </c>
      <c r="V580" s="1" t="s">
        <v>31</v>
      </c>
    </row>
    <row r="581" spans="1:22" x14ac:dyDescent="0.2">
      <c r="A581" s="1">
        <v>5436610</v>
      </c>
      <c r="B581" s="1" t="s">
        <v>2912</v>
      </c>
      <c r="C581" s="1" t="str">
        <f>"9788024638683"</f>
        <v>9788024638683</v>
      </c>
      <c r="D581" s="1" t="str">
        <f>"9788024639079"</f>
        <v>9788024639079</v>
      </c>
      <c r="E581" s="2" t="s">
        <v>2799</v>
      </c>
      <c r="F581" s="2" t="s">
        <v>2823</v>
      </c>
      <c r="G581" s="1" t="s">
        <v>24</v>
      </c>
      <c r="J581" s="1" t="s">
        <v>2913</v>
      </c>
      <c r="K581" s="1" t="s">
        <v>72</v>
      </c>
      <c r="L581" s="1" t="s">
        <v>2914</v>
      </c>
      <c r="M581" s="1" t="s">
        <v>535</v>
      </c>
      <c r="N581" s="1" t="s">
        <v>2915</v>
      </c>
      <c r="O581" s="1" t="s">
        <v>39</v>
      </c>
      <c r="P581" s="4">
        <v>13.76</v>
      </c>
      <c r="Q581" s="5">
        <f t="shared" si="27"/>
        <v>16.512</v>
      </c>
      <c r="R581" s="4">
        <v>17.2</v>
      </c>
      <c r="S581" s="5">
        <f t="shared" si="28"/>
        <v>20.639999999999997</v>
      </c>
      <c r="T581" s="4">
        <v>20.64</v>
      </c>
      <c r="U581" s="5">
        <f t="shared" si="29"/>
        <v>24.768000000000001</v>
      </c>
      <c r="V581" s="1" t="s">
        <v>31</v>
      </c>
    </row>
    <row r="582" spans="1:22" x14ac:dyDescent="0.2">
      <c r="A582" s="1">
        <v>5436611</v>
      </c>
      <c r="B582" s="1" t="s">
        <v>2916</v>
      </c>
      <c r="C582" s="1" t="str">
        <f>"9788024638911"</f>
        <v>9788024638911</v>
      </c>
      <c r="D582" s="1" t="str">
        <f>"9788024639567"</f>
        <v>9788024639567</v>
      </c>
      <c r="E582" s="2" t="s">
        <v>2849</v>
      </c>
      <c r="F582" s="2" t="s">
        <v>2823</v>
      </c>
      <c r="G582" s="1" t="s">
        <v>24</v>
      </c>
      <c r="J582" s="1" t="s">
        <v>2917</v>
      </c>
      <c r="K582" s="1" t="s">
        <v>72</v>
      </c>
      <c r="L582" s="1" t="s">
        <v>2918</v>
      </c>
      <c r="M582" s="1" t="s">
        <v>2919</v>
      </c>
      <c r="N582" s="1" t="s">
        <v>2920</v>
      </c>
      <c r="O582" s="1" t="s">
        <v>171</v>
      </c>
      <c r="P582" s="4">
        <v>13.76</v>
      </c>
      <c r="Q582" s="5">
        <f t="shared" si="27"/>
        <v>16.512</v>
      </c>
      <c r="R582" s="4">
        <v>17.2</v>
      </c>
      <c r="S582" s="5">
        <f t="shared" si="28"/>
        <v>20.639999999999997</v>
      </c>
      <c r="T582" s="4">
        <v>20.64</v>
      </c>
      <c r="U582" s="5">
        <f t="shared" si="29"/>
        <v>24.768000000000001</v>
      </c>
      <c r="V582" s="1" t="s">
        <v>31</v>
      </c>
    </row>
    <row r="583" spans="1:22" x14ac:dyDescent="0.2">
      <c r="A583" s="1">
        <v>5436612</v>
      </c>
      <c r="B583" s="1" t="s">
        <v>2921</v>
      </c>
      <c r="C583" s="1" t="str">
        <f>"9788024627427"</f>
        <v>9788024627427</v>
      </c>
      <c r="D583" s="1" t="str">
        <f>"9788024627656"</f>
        <v>9788024627656</v>
      </c>
      <c r="E583" s="2" t="s">
        <v>855</v>
      </c>
      <c r="F583" s="2" t="s">
        <v>2823</v>
      </c>
      <c r="G583" s="1" t="s">
        <v>24</v>
      </c>
      <c r="J583" s="1" t="s">
        <v>2922</v>
      </c>
      <c r="K583" s="1" t="s">
        <v>79</v>
      </c>
      <c r="L583" s="1" t="s">
        <v>2923</v>
      </c>
      <c r="M583" s="1" t="s">
        <v>2924</v>
      </c>
      <c r="N583" s="1" t="s">
        <v>2925</v>
      </c>
      <c r="O583" s="1" t="s">
        <v>39</v>
      </c>
      <c r="P583" s="4">
        <v>27.52</v>
      </c>
      <c r="Q583" s="5">
        <f t="shared" si="27"/>
        <v>33.024000000000001</v>
      </c>
      <c r="R583" s="4">
        <v>34.4</v>
      </c>
      <c r="S583" s="5">
        <f t="shared" si="28"/>
        <v>41.279999999999994</v>
      </c>
      <c r="T583" s="4">
        <v>41.28</v>
      </c>
      <c r="U583" s="5">
        <f t="shared" si="29"/>
        <v>49.536000000000001</v>
      </c>
      <c r="V583" s="1" t="s">
        <v>31</v>
      </c>
    </row>
    <row r="584" spans="1:22" x14ac:dyDescent="0.2">
      <c r="A584" s="1">
        <v>5436613</v>
      </c>
      <c r="B584" s="1" t="s">
        <v>2926</v>
      </c>
      <c r="C584" s="1" t="str">
        <f>"9788024637129"</f>
        <v>9788024637129</v>
      </c>
      <c r="D584" s="1" t="str">
        <f>"9788024637389"</f>
        <v>9788024637389</v>
      </c>
      <c r="E584" s="2" t="s">
        <v>2700</v>
      </c>
      <c r="F584" s="2" t="s">
        <v>2823</v>
      </c>
      <c r="G584" s="1" t="s">
        <v>24</v>
      </c>
      <c r="J584" s="1" t="s">
        <v>2927</v>
      </c>
      <c r="K584" s="1" t="s">
        <v>79</v>
      </c>
      <c r="L584" s="1" t="s">
        <v>2928</v>
      </c>
      <c r="M584" s="1" t="s">
        <v>2929</v>
      </c>
      <c r="N584" s="1" t="s">
        <v>2930</v>
      </c>
      <c r="O584" s="1" t="s">
        <v>39</v>
      </c>
      <c r="P584" s="4">
        <v>13.76</v>
      </c>
      <c r="Q584" s="5">
        <f t="shared" si="27"/>
        <v>16.512</v>
      </c>
      <c r="R584" s="4">
        <v>17.2</v>
      </c>
      <c r="S584" s="5">
        <f t="shared" si="28"/>
        <v>20.639999999999997</v>
      </c>
      <c r="T584" s="4">
        <v>20.64</v>
      </c>
      <c r="U584" s="5">
        <f t="shared" si="29"/>
        <v>24.768000000000001</v>
      </c>
      <c r="V584" s="1" t="s">
        <v>31</v>
      </c>
    </row>
    <row r="585" spans="1:22" x14ac:dyDescent="0.2">
      <c r="A585" s="1">
        <v>5436614</v>
      </c>
      <c r="B585" s="1" t="s">
        <v>2931</v>
      </c>
      <c r="C585" s="1" t="str">
        <f>"9788024621753"</f>
        <v>9788024621753</v>
      </c>
      <c r="D585" s="1" t="str">
        <f>"9788024627724"</f>
        <v>9788024627724</v>
      </c>
      <c r="E585" s="2" t="s">
        <v>2932</v>
      </c>
      <c r="F585" s="2" t="s">
        <v>2823</v>
      </c>
      <c r="G585" s="1" t="s">
        <v>24</v>
      </c>
      <c r="J585" s="1" t="s">
        <v>2933</v>
      </c>
      <c r="K585" s="1" t="s">
        <v>2934</v>
      </c>
      <c r="L585" s="1" t="s">
        <v>2935</v>
      </c>
      <c r="M585" s="1" t="s">
        <v>2936</v>
      </c>
      <c r="N585" s="1" t="s">
        <v>2937</v>
      </c>
      <c r="O585" s="1" t="s">
        <v>39</v>
      </c>
      <c r="P585" s="4">
        <v>17.43</v>
      </c>
      <c r="Q585" s="5">
        <f t="shared" si="27"/>
        <v>20.916</v>
      </c>
      <c r="R585" s="4">
        <v>21.79</v>
      </c>
      <c r="S585" s="5">
        <f t="shared" si="28"/>
        <v>26.148</v>
      </c>
      <c r="T585" s="4">
        <v>26.15</v>
      </c>
      <c r="U585" s="5">
        <f t="shared" si="29"/>
        <v>31.379999999999995</v>
      </c>
      <c r="V585" s="1" t="s">
        <v>31</v>
      </c>
    </row>
    <row r="586" spans="1:22" x14ac:dyDescent="0.2">
      <c r="A586" s="1">
        <v>5488845</v>
      </c>
      <c r="B586" s="1" t="s">
        <v>2938</v>
      </c>
      <c r="C586" s="1" t="str">
        <f>"9788024632360"</f>
        <v>9788024632360</v>
      </c>
      <c r="D586" s="1" t="str">
        <f>"9788024632551"</f>
        <v>9788024632551</v>
      </c>
      <c r="E586" s="2" t="s">
        <v>1641</v>
      </c>
      <c r="F586" s="2" t="s">
        <v>2939</v>
      </c>
      <c r="G586" s="1" t="s">
        <v>24</v>
      </c>
      <c r="J586" s="1" t="s">
        <v>333</v>
      </c>
      <c r="K586" s="1" t="s">
        <v>334</v>
      </c>
      <c r="L586" s="1" t="s">
        <v>2940</v>
      </c>
      <c r="M586" s="1" t="s">
        <v>2941</v>
      </c>
      <c r="N586" s="1" t="s">
        <v>2942</v>
      </c>
      <c r="O586" s="1" t="s">
        <v>30</v>
      </c>
      <c r="P586" s="4">
        <v>13.76</v>
      </c>
      <c r="Q586" s="5">
        <f t="shared" si="27"/>
        <v>16.512</v>
      </c>
      <c r="R586" s="4">
        <v>17.2</v>
      </c>
      <c r="S586" s="5">
        <f t="shared" si="28"/>
        <v>20.639999999999997</v>
      </c>
      <c r="T586" s="4">
        <v>20.64</v>
      </c>
      <c r="U586" s="5">
        <f t="shared" si="29"/>
        <v>24.768000000000001</v>
      </c>
      <c r="V586" s="1" t="s">
        <v>31</v>
      </c>
    </row>
    <row r="587" spans="1:22" x14ac:dyDescent="0.2">
      <c r="A587" s="1">
        <v>5488846</v>
      </c>
      <c r="B587" s="1" t="s">
        <v>2943</v>
      </c>
      <c r="C587" s="1" t="str">
        <f>"9788024637419"</f>
        <v>9788024637419</v>
      </c>
      <c r="D587" s="1" t="str">
        <f>"9788024637617"</f>
        <v>9788024637617</v>
      </c>
      <c r="E587" s="2" t="s">
        <v>2799</v>
      </c>
      <c r="F587" s="2" t="s">
        <v>2939</v>
      </c>
      <c r="G587" s="1" t="s">
        <v>24</v>
      </c>
      <c r="J587" s="1" t="s">
        <v>2944</v>
      </c>
      <c r="K587" s="1" t="s">
        <v>124</v>
      </c>
      <c r="L587" s="1" t="s">
        <v>2945</v>
      </c>
      <c r="M587" s="1" t="s">
        <v>2946</v>
      </c>
      <c r="N587" s="1" t="s">
        <v>2947</v>
      </c>
      <c r="O587" s="1" t="s">
        <v>39</v>
      </c>
      <c r="P587" s="4">
        <v>13.76</v>
      </c>
      <c r="Q587" s="5">
        <f t="shared" si="27"/>
        <v>16.512</v>
      </c>
      <c r="R587" s="4">
        <v>17.2</v>
      </c>
      <c r="S587" s="5">
        <f t="shared" si="28"/>
        <v>20.639999999999997</v>
      </c>
      <c r="T587" s="4">
        <v>20.64</v>
      </c>
      <c r="U587" s="5">
        <f t="shared" si="29"/>
        <v>24.768000000000001</v>
      </c>
      <c r="V587" s="1" t="s">
        <v>31</v>
      </c>
    </row>
    <row r="588" spans="1:22" x14ac:dyDescent="0.2">
      <c r="A588" s="1">
        <v>5488847</v>
      </c>
      <c r="B588" s="1" t="s">
        <v>2948</v>
      </c>
      <c r="C588" s="1" t="str">
        <f>"9788024616636"</f>
        <v>9788024616636</v>
      </c>
      <c r="D588" s="1" t="str">
        <f>"9788024627748"</f>
        <v>9788024627748</v>
      </c>
      <c r="E588" s="2" t="s">
        <v>2949</v>
      </c>
      <c r="F588" s="2" t="s">
        <v>2939</v>
      </c>
      <c r="G588" s="1" t="s">
        <v>24</v>
      </c>
      <c r="J588" s="1" t="s">
        <v>2514</v>
      </c>
      <c r="K588" s="1" t="s">
        <v>111</v>
      </c>
      <c r="L588" s="1" t="s">
        <v>2950</v>
      </c>
      <c r="M588" s="1" t="s">
        <v>2951</v>
      </c>
      <c r="N588" s="1" t="s">
        <v>2952</v>
      </c>
      <c r="O588" s="1" t="s">
        <v>39</v>
      </c>
      <c r="P588" s="4">
        <v>13.76</v>
      </c>
      <c r="Q588" s="5">
        <f t="shared" si="27"/>
        <v>16.512</v>
      </c>
      <c r="R588" s="4">
        <v>17.2</v>
      </c>
      <c r="S588" s="5">
        <f t="shared" si="28"/>
        <v>20.639999999999997</v>
      </c>
      <c r="T588" s="4">
        <v>20.64</v>
      </c>
      <c r="U588" s="5">
        <f t="shared" si="29"/>
        <v>24.768000000000001</v>
      </c>
      <c r="V588" s="1" t="s">
        <v>31</v>
      </c>
    </row>
    <row r="589" spans="1:22" x14ac:dyDescent="0.2">
      <c r="A589" s="1">
        <v>5488848</v>
      </c>
      <c r="B589" s="1" t="s">
        <v>2953</v>
      </c>
      <c r="C589" s="1" t="str">
        <f>"9788024637334"</f>
        <v>9788024637334</v>
      </c>
      <c r="D589" s="1" t="str">
        <f>"9788024637624"</f>
        <v>9788024637624</v>
      </c>
      <c r="E589" s="2" t="s">
        <v>2393</v>
      </c>
      <c r="F589" s="2" t="s">
        <v>2939</v>
      </c>
      <c r="G589" s="1" t="s">
        <v>24</v>
      </c>
      <c r="J589" s="1" t="s">
        <v>2954</v>
      </c>
      <c r="K589" s="1" t="s">
        <v>346</v>
      </c>
      <c r="L589" s="1" t="s">
        <v>2955</v>
      </c>
      <c r="M589" s="1" t="s">
        <v>2956</v>
      </c>
      <c r="N589" s="1" t="s">
        <v>2957</v>
      </c>
      <c r="O589" s="1" t="s">
        <v>39</v>
      </c>
      <c r="P589" s="4">
        <v>13.76</v>
      </c>
      <c r="Q589" s="5">
        <f t="shared" si="27"/>
        <v>16.512</v>
      </c>
      <c r="R589" s="4">
        <v>17.2</v>
      </c>
      <c r="S589" s="5">
        <f t="shared" si="28"/>
        <v>20.639999999999997</v>
      </c>
      <c r="T589" s="4">
        <v>20.64</v>
      </c>
      <c r="U589" s="5">
        <f t="shared" si="29"/>
        <v>24.768000000000001</v>
      </c>
      <c r="V589" s="1" t="s">
        <v>31</v>
      </c>
    </row>
    <row r="590" spans="1:22" x14ac:dyDescent="0.2">
      <c r="A590" s="1">
        <v>5488849</v>
      </c>
      <c r="B590" s="1" t="s">
        <v>2958</v>
      </c>
      <c r="C590" s="1" t="str">
        <f>"9788024625683"</f>
        <v>9788024625683</v>
      </c>
      <c r="D590" s="1" t="str">
        <f>"9788024633312"</f>
        <v>9788024633312</v>
      </c>
      <c r="E590" s="2" t="s">
        <v>1781</v>
      </c>
      <c r="F590" s="2" t="s">
        <v>2939</v>
      </c>
      <c r="G590" s="1" t="s">
        <v>24</v>
      </c>
      <c r="J590" s="1" t="s">
        <v>2959</v>
      </c>
      <c r="K590" s="1" t="s">
        <v>64</v>
      </c>
      <c r="L590" s="1" t="s">
        <v>2960</v>
      </c>
      <c r="M590" s="1" t="s">
        <v>2961</v>
      </c>
      <c r="N590" s="1" t="s">
        <v>2962</v>
      </c>
      <c r="O590" s="1" t="s">
        <v>39</v>
      </c>
      <c r="P590" s="4">
        <v>19.27</v>
      </c>
      <c r="Q590" s="5">
        <f t="shared" si="27"/>
        <v>23.123999999999999</v>
      </c>
      <c r="R590" s="4">
        <v>24.08</v>
      </c>
      <c r="S590" s="5">
        <f t="shared" si="28"/>
        <v>28.895999999999997</v>
      </c>
      <c r="T590" s="4">
        <v>28.9</v>
      </c>
      <c r="U590" s="5">
        <f t="shared" si="29"/>
        <v>34.68</v>
      </c>
      <c r="V590" s="1" t="s">
        <v>31</v>
      </c>
    </row>
    <row r="591" spans="1:22" x14ac:dyDescent="0.2">
      <c r="A591" s="1">
        <v>5490924</v>
      </c>
      <c r="B591" s="1" t="s">
        <v>2963</v>
      </c>
      <c r="C591" s="1" t="str">
        <f>"9788024635538"</f>
        <v>9788024635538</v>
      </c>
      <c r="D591" s="1" t="str">
        <f>"9788024636054"</f>
        <v>9788024636054</v>
      </c>
      <c r="E591" s="2" t="s">
        <v>2616</v>
      </c>
      <c r="F591" s="2" t="s">
        <v>2964</v>
      </c>
      <c r="G591" s="1" t="s">
        <v>24</v>
      </c>
      <c r="J591" s="1" t="s">
        <v>2965</v>
      </c>
      <c r="K591" s="1" t="s">
        <v>284</v>
      </c>
      <c r="L591" s="1" t="s">
        <v>2966</v>
      </c>
      <c r="M591" s="1" t="s">
        <v>2967</v>
      </c>
      <c r="N591" s="1" t="s">
        <v>2968</v>
      </c>
      <c r="O591" s="1" t="s">
        <v>171</v>
      </c>
      <c r="P591" s="4">
        <v>16.510000000000002</v>
      </c>
      <c r="Q591" s="5">
        <f t="shared" si="27"/>
        <v>19.812000000000001</v>
      </c>
      <c r="R591" s="4">
        <v>20.64</v>
      </c>
      <c r="S591" s="5">
        <f t="shared" si="28"/>
        <v>24.768000000000001</v>
      </c>
      <c r="T591" s="4">
        <v>24.77</v>
      </c>
      <c r="U591" s="5">
        <f t="shared" si="29"/>
        <v>29.723999999999997</v>
      </c>
      <c r="V591" s="1" t="s">
        <v>31</v>
      </c>
    </row>
    <row r="592" spans="1:22" x14ac:dyDescent="0.2">
      <c r="A592" s="1">
        <v>5490925</v>
      </c>
      <c r="B592" s="1" t="s">
        <v>2969</v>
      </c>
      <c r="C592" s="1" t="str">
        <f>"9788024635101"</f>
        <v>9788024635101</v>
      </c>
      <c r="D592" s="1" t="str">
        <f>"9788024635347"</f>
        <v>9788024635347</v>
      </c>
      <c r="E592" s="2" t="s">
        <v>2616</v>
      </c>
      <c r="F592" s="2" t="s">
        <v>2964</v>
      </c>
      <c r="G592" s="1" t="s">
        <v>24</v>
      </c>
      <c r="H592" s="1">
        <v>2</v>
      </c>
      <c r="J592" s="1" t="s">
        <v>2970</v>
      </c>
      <c r="K592" s="1" t="s">
        <v>284</v>
      </c>
      <c r="L592" s="1" t="s">
        <v>2971</v>
      </c>
      <c r="M592" s="1" t="s">
        <v>1196</v>
      </c>
      <c r="N592" s="1" t="s">
        <v>2972</v>
      </c>
      <c r="O592" s="1" t="s">
        <v>39</v>
      </c>
      <c r="P592" s="4">
        <v>18.350000000000001</v>
      </c>
      <c r="Q592" s="5">
        <f t="shared" si="27"/>
        <v>22.02</v>
      </c>
      <c r="R592" s="4">
        <v>22.94</v>
      </c>
      <c r="S592" s="5">
        <f t="shared" si="28"/>
        <v>27.528000000000002</v>
      </c>
      <c r="T592" s="4">
        <v>27.52</v>
      </c>
      <c r="U592" s="5">
        <f t="shared" si="29"/>
        <v>33.024000000000001</v>
      </c>
      <c r="V592" s="1" t="s">
        <v>31</v>
      </c>
    </row>
    <row r="593" spans="1:22" x14ac:dyDescent="0.2">
      <c r="A593" s="1">
        <v>5490926</v>
      </c>
      <c r="B593" s="1" t="s">
        <v>2973</v>
      </c>
      <c r="C593" s="1" t="str">
        <f>"9788024634296"</f>
        <v>9788024634296</v>
      </c>
      <c r="D593" s="1" t="str">
        <f>"9788024634302"</f>
        <v>9788024634302</v>
      </c>
      <c r="E593" s="2" t="s">
        <v>1963</v>
      </c>
      <c r="F593" s="2" t="s">
        <v>2964</v>
      </c>
      <c r="G593" s="1" t="s">
        <v>24</v>
      </c>
      <c r="J593" s="1" t="s">
        <v>2974</v>
      </c>
      <c r="K593" s="1" t="s">
        <v>341</v>
      </c>
      <c r="L593" s="1" t="s">
        <v>2975</v>
      </c>
      <c r="M593" s="1">
        <v>170</v>
      </c>
      <c r="N593" s="1" t="s">
        <v>2976</v>
      </c>
      <c r="O593" s="1" t="s">
        <v>30</v>
      </c>
      <c r="P593" s="4">
        <v>16.510000000000002</v>
      </c>
      <c r="Q593" s="5">
        <f t="shared" si="27"/>
        <v>19.812000000000001</v>
      </c>
      <c r="R593" s="4">
        <v>20.64</v>
      </c>
      <c r="S593" s="5">
        <f t="shared" si="28"/>
        <v>24.768000000000001</v>
      </c>
      <c r="T593" s="4">
        <v>24.77</v>
      </c>
      <c r="U593" s="5">
        <f t="shared" si="29"/>
        <v>29.723999999999997</v>
      </c>
      <c r="V593" s="1" t="s">
        <v>31</v>
      </c>
    </row>
    <row r="594" spans="1:22" x14ac:dyDescent="0.2">
      <c r="A594" s="1">
        <v>5569298</v>
      </c>
      <c r="B594" s="1" t="s">
        <v>2977</v>
      </c>
      <c r="C594" s="1" t="str">
        <f>""</f>
        <v/>
      </c>
      <c r="D594" s="1" t="str">
        <f>"9788024637891"</f>
        <v>9788024637891</v>
      </c>
      <c r="E594" s="2" t="s">
        <v>2799</v>
      </c>
      <c r="F594" s="2" t="s">
        <v>2978</v>
      </c>
      <c r="G594" s="1" t="s">
        <v>24</v>
      </c>
      <c r="I594" s="1" t="s">
        <v>2979</v>
      </c>
      <c r="J594" s="1" t="s">
        <v>2980</v>
      </c>
      <c r="K594" s="1" t="s">
        <v>2071</v>
      </c>
      <c r="L594" s="1" t="s">
        <v>2981</v>
      </c>
      <c r="M594" s="1" t="s">
        <v>1272</v>
      </c>
      <c r="N594" s="1" t="s">
        <v>2074</v>
      </c>
      <c r="O594" s="1" t="s">
        <v>39</v>
      </c>
      <c r="P594" s="4">
        <v>13.76</v>
      </c>
      <c r="Q594" s="5">
        <f t="shared" si="27"/>
        <v>16.512</v>
      </c>
      <c r="R594" s="4">
        <v>17.2</v>
      </c>
      <c r="S594" s="5">
        <f t="shared" si="28"/>
        <v>20.639999999999997</v>
      </c>
      <c r="T594" s="4">
        <v>20.64</v>
      </c>
      <c r="U594" s="5">
        <f t="shared" si="29"/>
        <v>24.768000000000001</v>
      </c>
      <c r="V594" s="1" t="s">
        <v>31</v>
      </c>
    </row>
    <row r="595" spans="1:22" x14ac:dyDescent="0.2">
      <c r="A595" s="1">
        <v>5569299</v>
      </c>
      <c r="B595" s="1" t="s">
        <v>745</v>
      </c>
      <c r="C595" s="1" t="str">
        <f>"9788024638232"</f>
        <v>9788024638232</v>
      </c>
      <c r="D595" s="1" t="str">
        <f>"9788024638416"</f>
        <v>9788024638416</v>
      </c>
      <c r="E595" s="2" t="s">
        <v>2982</v>
      </c>
      <c r="F595" s="2" t="s">
        <v>2978</v>
      </c>
      <c r="G595" s="1" t="s">
        <v>24</v>
      </c>
      <c r="H595" s="1">
        <v>2</v>
      </c>
      <c r="J595" s="1" t="s">
        <v>2983</v>
      </c>
      <c r="K595" s="1" t="s">
        <v>124</v>
      </c>
      <c r="L595" s="1" t="s">
        <v>2984</v>
      </c>
      <c r="M595" s="1">
        <v>616</v>
      </c>
      <c r="N595" s="1" t="s">
        <v>2985</v>
      </c>
      <c r="O595" s="1" t="s">
        <v>39</v>
      </c>
      <c r="P595" s="4">
        <v>13.76</v>
      </c>
      <c r="Q595" s="5">
        <f t="shared" si="27"/>
        <v>16.512</v>
      </c>
      <c r="R595" s="4">
        <v>17.2</v>
      </c>
      <c r="S595" s="5">
        <f t="shared" si="28"/>
        <v>20.639999999999997</v>
      </c>
      <c r="T595" s="4">
        <v>20.64</v>
      </c>
      <c r="U595" s="5">
        <f t="shared" si="29"/>
        <v>24.768000000000001</v>
      </c>
      <c r="V595" s="1" t="s">
        <v>31</v>
      </c>
    </row>
    <row r="596" spans="1:22" x14ac:dyDescent="0.2">
      <c r="A596" s="1">
        <v>5569300</v>
      </c>
      <c r="B596" s="1" t="s">
        <v>2986</v>
      </c>
      <c r="C596" s="1" t="str">
        <f>""</f>
        <v/>
      </c>
      <c r="D596" s="1" t="str">
        <f>"9788024639031"</f>
        <v>9788024639031</v>
      </c>
      <c r="E596" s="2" t="s">
        <v>2982</v>
      </c>
      <c r="F596" s="2" t="s">
        <v>2978</v>
      </c>
      <c r="G596" s="1" t="s">
        <v>24</v>
      </c>
      <c r="I596" s="1" t="s">
        <v>2889</v>
      </c>
      <c r="J596" s="1" t="s">
        <v>2987</v>
      </c>
      <c r="K596" s="1" t="s">
        <v>277</v>
      </c>
      <c r="L596" s="1" t="s">
        <v>2988</v>
      </c>
      <c r="M596" s="1">
        <v>342</v>
      </c>
      <c r="N596" s="1" t="s">
        <v>2989</v>
      </c>
      <c r="O596" s="1" t="s">
        <v>39</v>
      </c>
      <c r="P596" s="4">
        <v>14.68</v>
      </c>
      <c r="Q596" s="5">
        <f t="shared" si="27"/>
        <v>17.616</v>
      </c>
      <c r="R596" s="4">
        <v>18.350000000000001</v>
      </c>
      <c r="S596" s="5">
        <f t="shared" si="28"/>
        <v>22.02</v>
      </c>
      <c r="T596" s="4">
        <v>22.02</v>
      </c>
      <c r="U596" s="5">
        <f t="shared" si="29"/>
        <v>26.423999999999999</v>
      </c>
      <c r="V596" s="1" t="s">
        <v>31</v>
      </c>
    </row>
    <row r="597" spans="1:22" x14ac:dyDescent="0.2">
      <c r="A597" s="1">
        <v>5569301</v>
      </c>
      <c r="B597" s="1" t="s">
        <v>2990</v>
      </c>
      <c r="C597" s="1" t="str">
        <f>""</f>
        <v/>
      </c>
      <c r="D597" s="1" t="str">
        <f>"9788024639086"</f>
        <v>9788024639086</v>
      </c>
      <c r="E597" s="2" t="s">
        <v>2849</v>
      </c>
      <c r="F597" s="2" t="s">
        <v>2978</v>
      </c>
      <c r="G597" s="1" t="s">
        <v>24</v>
      </c>
      <c r="I597" s="1" t="s">
        <v>2889</v>
      </c>
      <c r="J597" s="1" t="s">
        <v>2991</v>
      </c>
      <c r="K597" s="1" t="s">
        <v>341</v>
      </c>
      <c r="L597" s="1" t="s">
        <v>2992</v>
      </c>
      <c r="M597" s="1" t="s">
        <v>2993</v>
      </c>
      <c r="N597" s="1" t="s">
        <v>2994</v>
      </c>
      <c r="O597" s="1" t="s">
        <v>39</v>
      </c>
      <c r="P597" s="4">
        <v>14.68</v>
      </c>
      <c r="Q597" s="5">
        <f t="shared" si="27"/>
        <v>17.616</v>
      </c>
      <c r="R597" s="4">
        <v>18.350000000000001</v>
      </c>
      <c r="S597" s="5">
        <f t="shared" si="28"/>
        <v>22.02</v>
      </c>
      <c r="T597" s="4">
        <v>22.02</v>
      </c>
      <c r="U597" s="5">
        <f t="shared" si="29"/>
        <v>26.423999999999999</v>
      </c>
      <c r="V597" s="1" t="s">
        <v>31</v>
      </c>
    </row>
    <row r="598" spans="1:22" x14ac:dyDescent="0.2">
      <c r="A598" s="1">
        <v>5569302</v>
      </c>
      <c r="B598" s="1" t="s">
        <v>931</v>
      </c>
      <c r="C598" s="1" t="str">
        <f>"9788024639864"</f>
        <v>9788024639864</v>
      </c>
      <c r="D598" s="1" t="str">
        <f>"9788024640150"</f>
        <v>9788024640150</v>
      </c>
      <c r="E598" s="2" t="s">
        <v>2995</v>
      </c>
      <c r="F598" s="2" t="s">
        <v>2978</v>
      </c>
      <c r="G598" s="1" t="s">
        <v>24</v>
      </c>
      <c r="H598" s="1">
        <v>2</v>
      </c>
      <c r="J598" s="1" t="s">
        <v>2996</v>
      </c>
      <c r="K598" s="1" t="s">
        <v>248</v>
      </c>
      <c r="L598" s="1" t="s">
        <v>2997</v>
      </c>
      <c r="M598" s="1" t="s">
        <v>2998</v>
      </c>
      <c r="N598" s="1" t="s">
        <v>2999</v>
      </c>
      <c r="O598" s="1" t="s">
        <v>39</v>
      </c>
      <c r="P598" s="4">
        <v>13.76</v>
      </c>
      <c r="Q598" s="5">
        <f t="shared" si="27"/>
        <v>16.512</v>
      </c>
      <c r="R598" s="4">
        <v>17.2</v>
      </c>
      <c r="S598" s="5">
        <f t="shared" si="28"/>
        <v>20.639999999999997</v>
      </c>
      <c r="T598" s="4">
        <v>20.64</v>
      </c>
      <c r="U598" s="5">
        <f t="shared" si="29"/>
        <v>24.768000000000001</v>
      </c>
      <c r="V598" s="1" t="s">
        <v>31</v>
      </c>
    </row>
    <row r="599" spans="1:22" x14ac:dyDescent="0.2">
      <c r="A599" s="1">
        <v>5569303</v>
      </c>
      <c r="B599" s="1" t="s">
        <v>3000</v>
      </c>
      <c r="C599" s="1" t="str">
        <f>""</f>
        <v/>
      </c>
      <c r="D599" s="1" t="str">
        <f>"9788024639857"</f>
        <v>9788024639857</v>
      </c>
      <c r="E599" s="2" t="s">
        <v>3001</v>
      </c>
      <c r="F599" s="2" t="s">
        <v>2978</v>
      </c>
      <c r="G599" s="1" t="s">
        <v>24</v>
      </c>
      <c r="J599" s="1" t="s">
        <v>3002</v>
      </c>
      <c r="K599" s="1" t="s">
        <v>242</v>
      </c>
      <c r="L599" s="1" t="s">
        <v>3003</v>
      </c>
      <c r="M599" s="1" t="s">
        <v>3004</v>
      </c>
      <c r="N599" s="1" t="s">
        <v>3005</v>
      </c>
      <c r="O599" s="1" t="s">
        <v>39</v>
      </c>
      <c r="P599" s="4">
        <v>21.1</v>
      </c>
      <c r="Q599" s="5">
        <f t="shared" si="27"/>
        <v>25.32</v>
      </c>
      <c r="R599" s="4">
        <v>26.38</v>
      </c>
      <c r="S599" s="5">
        <f t="shared" si="28"/>
        <v>31.655999999999999</v>
      </c>
      <c r="T599" s="4">
        <v>31.65</v>
      </c>
      <c r="U599" s="5">
        <f t="shared" si="29"/>
        <v>37.979999999999997</v>
      </c>
      <c r="V599" s="1" t="s">
        <v>31</v>
      </c>
    </row>
    <row r="600" spans="1:22" x14ac:dyDescent="0.2">
      <c r="A600" s="1">
        <v>5569304</v>
      </c>
      <c r="B600" s="1" t="s">
        <v>861</v>
      </c>
      <c r="C600" s="1" t="str">
        <f>""</f>
        <v/>
      </c>
      <c r="D600" s="1" t="str">
        <f>"9788024639833"</f>
        <v>9788024639833</v>
      </c>
      <c r="E600" s="2" t="s">
        <v>2849</v>
      </c>
      <c r="F600" s="2" t="s">
        <v>2978</v>
      </c>
      <c r="G600" s="1" t="s">
        <v>24</v>
      </c>
      <c r="H600" s="1">
        <v>2</v>
      </c>
      <c r="J600" s="1" t="s">
        <v>862</v>
      </c>
      <c r="K600" s="1" t="s">
        <v>124</v>
      </c>
      <c r="L600" s="1" t="s">
        <v>3006</v>
      </c>
      <c r="M600" s="1" t="s">
        <v>126</v>
      </c>
      <c r="N600" s="1" t="s">
        <v>3007</v>
      </c>
      <c r="O600" s="1" t="s">
        <v>39</v>
      </c>
      <c r="P600" s="4">
        <v>13.76</v>
      </c>
      <c r="Q600" s="5">
        <f t="shared" si="27"/>
        <v>16.512</v>
      </c>
      <c r="R600" s="4">
        <v>17.2</v>
      </c>
      <c r="S600" s="5">
        <f t="shared" si="28"/>
        <v>20.639999999999997</v>
      </c>
      <c r="T600" s="4">
        <v>20.64</v>
      </c>
      <c r="U600" s="5">
        <f t="shared" si="29"/>
        <v>24.768000000000001</v>
      </c>
      <c r="V600" s="1" t="s">
        <v>31</v>
      </c>
    </row>
    <row r="601" spans="1:22" x14ac:dyDescent="0.2">
      <c r="A601" s="1">
        <v>5569305</v>
      </c>
      <c r="B601" s="1" t="s">
        <v>3008</v>
      </c>
      <c r="C601" s="1" t="str">
        <f>""</f>
        <v/>
      </c>
      <c r="D601" s="1" t="str">
        <f>"9788024641065"</f>
        <v>9788024641065</v>
      </c>
      <c r="E601" s="2" t="s">
        <v>3009</v>
      </c>
      <c r="F601" s="2" t="s">
        <v>2978</v>
      </c>
      <c r="G601" s="1" t="s">
        <v>24</v>
      </c>
      <c r="H601" s="1">
        <v>2</v>
      </c>
      <c r="J601" s="1" t="s">
        <v>3010</v>
      </c>
      <c r="K601" s="1" t="s">
        <v>124</v>
      </c>
      <c r="L601" s="1" t="s">
        <v>3011</v>
      </c>
      <c r="M601" s="1" t="s">
        <v>3012</v>
      </c>
      <c r="N601" s="1" t="s">
        <v>3013</v>
      </c>
      <c r="O601" s="1" t="s">
        <v>39</v>
      </c>
      <c r="P601" s="4">
        <v>13.76</v>
      </c>
      <c r="Q601" s="5">
        <f t="shared" si="27"/>
        <v>16.512</v>
      </c>
      <c r="R601" s="4">
        <v>17.2</v>
      </c>
      <c r="S601" s="5">
        <f t="shared" si="28"/>
        <v>20.639999999999997</v>
      </c>
      <c r="T601" s="4">
        <v>20.64</v>
      </c>
      <c r="U601" s="5">
        <f t="shared" si="29"/>
        <v>24.768000000000001</v>
      </c>
      <c r="V601" s="1" t="s">
        <v>31</v>
      </c>
    </row>
    <row r="602" spans="1:22" x14ac:dyDescent="0.2">
      <c r="A602" s="1">
        <v>5569306</v>
      </c>
      <c r="B602" s="1" t="s">
        <v>3014</v>
      </c>
      <c r="C602" s="1" t="str">
        <f>""</f>
        <v/>
      </c>
      <c r="D602" s="1" t="str">
        <f>"9788024640488"</f>
        <v>9788024640488</v>
      </c>
      <c r="E602" s="2" t="s">
        <v>3009</v>
      </c>
      <c r="F602" s="2" t="s">
        <v>2978</v>
      </c>
      <c r="G602" s="1" t="s">
        <v>24</v>
      </c>
      <c r="J602" s="1" t="s">
        <v>3015</v>
      </c>
      <c r="K602" s="1" t="s">
        <v>248</v>
      </c>
      <c r="O602" s="1" t="s">
        <v>39</v>
      </c>
      <c r="P602" s="4">
        <v>13.76</v>
      </c>
      <c r="Q602" s="5">
        <f t="shared" si="27"/>
        <v>16.512</v>
      </c>
      <c r="R602" s="4">
        <v>17.2</v>
      </c>
      <c r="S602" s="5">
        <f t="shared" si="28"/>
        <v>20.639999999999997</v>
      </c>
      <c r="T602" s="4">
        <v>20.64</v>
      </c>
      <c r="U602" s="5">
        <f t="shared" si="29"/>
        <v>24.768000000000001</v>
      </c>
      <c r="V602" s="1" t="s">
        <v>32</v>
      </c>
    </row>
    <row r="603" spans="1:22" x14ac:dyDescent="0.2">
      <c r="A603" s="1">
        <v>5569307</v>
      </c>
      <c r="B603" s="1" t="s">
        <v>3016</v>
      </c>
      <c r="C603" s="1" t="str">
        <f>""</f>
        <v/>
      </c>
      <c r="D603" s="1" t="str">
        <f>"9788024641034"</f>
        <v>9788024641034</v>
      </c>
      <c r="E603" s="2" t="s">
        <v>3009</v>
      </c>
      <c r="F603" s="2" t="s">
        <v>2978</v>
      </c>
      <c r="G603" s="1" t="s">
        <v>24</v>
      </c>
      <c r="J603" s="1" t="s">
        <v>3017</v>
      </c>
      <c r="K603" s="1" t="s">
        <v>111</v>
      </c>
      <c r="L603" s="1" t="s">
        <v>3018</v>
      </c>
      <c r="M603" s="1" t="s">
        <v>784</v>
      </c>
      <c r="N603" s="1" t="s">
        <v>3019</v>
      </c>
      <c r="O603" s="1" t="s">
        <v>39</v>
      </c>
      <c r="P603" s="4">
        <v>13.76</v>
      </c>
      <c r="Q603" s="5">
        <f t="shared" si="27"/>
        <v>16.512</v>
      </c>
      <c r="R603" s="4">
        <v>17.2</v>
      </c>
      <c r="S603" s="5">
        <f t="shared" si="28"/>
        <v>20.639999999999997</v>
      </c>
      <c r="T603" s="4">
        <v>20.64</v>
      </c>
      <c r="U603" s="5">
        <f t="shared" si="29"/>
        <v>24.768000000000001</v>
      </c>
      <c r="V603" s="1" t="s">
        <v>31</v>
      </c>
    </row>
    <row r="604" spans="1:22" x14ac:dyDescent="0.2">
      <c r="A604" s="1">
        <v>5569308</v>
      </c>
      <c r="B604" s="1" t="s">
        <v>3020</v>
      </c>
      <c r="C604" s="1" t="str">
        <f>""</f>
        <v/>
      </c>
      <c r="D604" s="1" t="str">
        <f>"9788024640617"</f>
        <v>9788024640617</v>
      </c>
      <c r="E604" s="2" t="s">
        <v>3009</v>
      </c>
      <c r="F604" s="2" t="s">
        <v>2978</v>
      </c>
      <c r="G604" s="1" t="s">
        <v>24</v>
      </c>
      <c r="J604" s="1" t="s">
        <v>3021</v>
      </c>
      <c r="K604" s="1" t="s">
        <v>341</v>
      </c>
      <c r="L604" s="1" t="s">
        <v>3022</v>
      </c>
      <c r="M604" s="1">
        <v>194</v>
      </c>
      <c r="N604" s="1" t="s">
        <v>3023</v>
      </c>
      <c r="O604" s="1" t="s">
        <v>39</v>
      </c>
      <c r="P604" s="4">
        <v>13.76</v>
      </c>
      <c r="Q604" s="5">
        <f t="shared" si="27"/>
        <v>16.512</v>
      </c>
      <c r="R604" s="4">
        <v>17.2</v>
      </c>
      <c r="S604" s="5">
        <f t="shared" si="28"/>
        <v>20.639999999999997</v>
      </c>
      <c r="T604" s="4">
        <v>20.64</v>
      </c>
      <c r="U604" s="5">
        <f t="shared" si="29"/>
        <v>24.768000000000001</v>
      </c>
      <c r="V604" s="1" t="s">
        <v>31</v>
      </c>
    </row>
    <row r="605" spans="1:22" x14ac:dyDescent="0.2">
      <c r="A605" s="1">
        <v>5569309</v>
      </c>
      <c r="B605" s="1" t="s">
        <v>3024</v>
      </c>
      <c r="C605" s="1" t="str">
        <f>""</f>
        <v/>
      </c>
      <c r="D605" s="1" t="str">
        <f>"9788024640426"</f>
        <v>9788024640426</v>
      </c>
      <c r="E605" s="2" t="s">
        <v>2982</v>
      </c>
      <c r="F605" s="2" t="s">
        <v>2978</v>
      </c>
      <c r="G605" s="1" t="s">
        <v>24</v>
      </c>
      <c r="J605" s="1" t="s">
        <v>3025</v>
      </c>
      <c r="K605" s="1" t="s">
        <v>570</v>
      </c>
      <c r="L605" s="1" t="s">
        <v>3026</v>
      </c>
      <c r="M605" s="1" t="s">
        <v>3027</v>
      </c>
      <c r="N605" s="1" t="s">
        <v>3028</v>
      </c>
      <c r="O605" s="1" t="s">
        <v>39</v>
      </c>
      <c r="P605" s="4">
        <v>13.76</v>
      </c>
      <c r="Q605" s="5">
        <f t="shared" si="27"/>
        <v>16.512</v>
      </c>
      <c r="R605" s="4">
        <v>17.2</v>
      </c>
      <c r="S605" s="5">
        <f t="shared" si="28"/>
        <v>20.639999999999997</v>
      </c>
      <c r="T605" s="4">
        <v>20.64</v>
      </c>
      <c r="U605" s="5">
        <f t="shared" si="29"/>
        <v>24.768000000000001</v>
      </c>
      <c r="V605" s="1" t="s">
        <v>31</v>
      </c>
    </row>
    <row r="606" spans="1:22" x14ac:dyDescent="0.2">
      <c r="A606" s="1">
        <v>5603711</v>
      </c>
      <c r="B606" s="1" t="s">
        <v>3029</v>
      </c>
      <c r="C606" s="1" t="str">
        <f>""</f>
        <v/>
      </c>
      <c r="D606" s="1" t="str">
        <f>"9788024639291"</f>
        <v>9788024639291</v>
      </c>
      <c r="E606" s="2" t="s">
        <v>3030</v>
      </c>
      <c r="F606" s="2" t="s">
        <v>3031</v>
      </c>
      <c r="G606" s="1" t="s">
        <v>24</v>
      </c>
      <c r="J606" s="1" t="s">
        <v>3032</v>
      </c>
      <c r="K606" s="1" t="s">
        <v>341</v>
      </c>
      <c r="L606" s="1" t="s">
        <v>3033</v>
      </c>
      <c r="M606" s="1">
        <v>197</v>
      </c>
      <c r="N606" s="1" t="s">
        <v>3034</v>
      </c>
      <c r="O606" s="1" t="s">
        <v>39</v>
      </c>
      <c r="P606" s="4">
        <v>13.76</v>
      </c>
      <c r="Q606" s="5">
        <f t="shared" si="27"/>
        <v>16.512</v>
      </c>
      <c r="R606" s="4">
        <v>17.2</v>
      </c>
      <c r="S606" s="5">
        <f t="shared" si="28"/>
        <v>20.639999999999997</v>
      </c>
      <c r="T606" s="4">
        <v>20.64</v>
      </c>
      <c r="U606" s="5">
        <f t="shared" si="29"/>
        <v>24.768000000000001</v>
      </c>
      <c r="V606" s="1" t="s">
        <v>31</v>
      </c>
    </row>
    <row r="607" spans="1:22" x14ac:dyDescent="0.2">
      <c r="A607" s="1">
        <v>5603712</v>
      </c>
      <c r="B607" s="1" t="s">
        <v>3035</v>
      </c>
      <c r="C607" s="1" t="str">
        <f>""</f>
        <v/>
      </c>
      <c r="D607" s="1" t="str">
        <f>"9788024637228"</f>
        <v>9788024637228</v>
      </c>
      <c r="E607" s="2" t="s">
        <v>2777</v>
      </c>
      <c r="F607" s="2" t="s">
        <v>3031</v>
      </c>
      <c r="G607" s="1" t="s">
        <v>24</v>
      </c>
      <c r="J607" s="1" t="s">
        <v>505</v>
      </c>
      <c r="K607" s="1" t="s">
        <v>72</v>
      </c>
      <c r="L607" s="1" t="s">
        <v>3036</v>
      </c>
      <c r="M607" s="1" t="s">
        <v>3037</v>
      </c>
      <c r="N607" s="1" t="s">
        <v>3038</v>
      </c>
      <c r="O607" s="1" t="s">
        <v>39</v>
      </c>
      <c r="P607" s="4">
        <v>13.76</v>
      </c>
      <c r="Q607" s="5">
        <f t="shared" si="27"/>
        <v>16.512</v>
      </c>
      <c r="R607" s="4">
        <v>17.2</v>
      </c>
      <c r="S607" s="5">
        <f t="shared" si="28"/>
        <v>20.639999999999997</v>
      </c>
      <c r="T607" s="4">
        <v>20.64</v>
      </c>
      <c r="U607" s="5">
        <f t="shared" si="29"/>
        <v>24.768000000000001</v>
      </c>
      <c r="V607" s="1" t="s">
        <v>31</v>
      </c>
    </row>
    <row r="608" spans="1:22" x14ac:dyDescent="0.2">
      <c r="A608" s="1">
        <v>5603713</v>
      </c>
      <c r="B608" s="1" t="s">
        <v>3039</v>
      </c>
      <c r="C608" s="1" t="str">
        <f>""</f>
        <v/>
      </c>
      <c r="D608" s="1" t="str">
        <f>"9788024639819"</f>
        <v>9788024639819</v>
      </c>
      <c r="E608" s="2" t="s">
        <v>3030</v>
      </c>
      <c r="F608" s="2" t="s">
        <v>3031</v>
      </c>
      <c r="G608" s="1" t="s">
        <v>24</v>
      </c>
      <c r="J608" s="1" t="s">
        <v>1999</v>
      </c>
      <c r="K608" s="1" t="s">
        <v>290</v>
      </c>
      <c r="L608" s="1" t="s">
        <v>3040</v>
      </c>
      <c r="M608" s="1" t="s">
        <v>2608</v>
      </c>
      <c r="N608" s="1" t="s">
        <v>3041</v>
      </c>
      <c r="O608" s="1" t="s">
        <v>39</v>
      </c>
      <c r="P608" s="4">
        <v>13.76</v>
      </c>
      <c r="Q608" s="5">
        <f t="shared" si="27"/>
        <v>16.512</v>
      </c>
      <c r="R608" s="4">
        <v>17.2</v>
      </c>
      <c r="S608" s="5">
        <f t="shared" si="28"/>
        <v>20.639999999999997</v>
      </c>
      <c r="T608" s="4">
        <v>20.64</v>
      </c>
      <c r="U608" s="5">
        <f t="shared" si="29"/>
        <v>24.768000000000001</v>
      </c>
      <c r="V608" s="1" t="s">
        <v>31</v>
      </c>
    </row>
    <row r="609" spans="1:22" x14ac:dyDescent="0.2">
      <c r="A609" s="1">
        <v>5603714</v>
      </c>
      <c r="B609" s="1" t="s">
        <v>3042</v>
      </c>
      <c r="C609" s="1" t="str">
        <f>""</f>
        <v/>
      </c>
      <c r="D609" s="1" t="str">
        <f>"9788024638386"</f>
        <v>9788024638386</v>
      </c>
      <c r="E609" s="2" t="s">
        <v>2995</v>
      </c>
      <c r="F609" s="2" t="s">
        <v>3031</v>
      </c>
      <c r="G609" s="1" t="s">
        <v>24</v>
      </c>
      <c r="J609" s="1" t="s">
        <v>3043</v>
      </c>
      <c r="K609" s="1" t="s">
        <v>150</v>
      </c>
      <c r="L609" s="1" t="s">
        <v>3044</v>
      </c>
      <c r="M609" s="1" t="s">
        <v>3045</v>
      </c>
      <c r="N609" s="1" t="s">
        <v>3046</v>
      </c>
      <c r="O609" s="1" t="s">
        <v>39</v>
      </c>
      <c r="P609" s="4">
        <v>16.510000000000002</v>
      </c>
      <c r="Q609" s="5">
        <f t="shared" si="27"/>
        <v>19.812000000000001</v>
      </c>
      <c r="R609" s="4">
        <v>20.64</v>
      </c>
      <c r="S609" s="5">
        <f t="shared" si="28"/>
        <v>24.768000000000001</v>
      </c>
      <c r="T609" s="4">
        <v>24.77</v>
      </c>
      <c r="U609" s="5">
        <f t="shared" si="29"/>
        <v>29.723999999999997</v>
      </c>
      <c r="V609" s="1" t="s">
        <v>31</v>
      </c>
    </row>
    <row r="610" spans="1:22" x14ac:dyDescent="0.2">
      <c r="A610" s="1">
        <v>5603715</v>
      </c>
      <c r="B610" s="1" t="s">
        <v>3047</v>
      </c>
      <c r="C610" s="1" t="str">
        <f>""</f>
        <v/>
      </c>
      <c r="D610" s="1" t="str">
        <f>"9788024639048"</f>
        <v>9788024639048</v>
      </c>
      <c r="E610" s="2" t="s">
        <v>2982</v>
      </c>
      <c r="F610" s="2" t="s">
        <v>3031</v>
      </c>
      <c r="G610" s="1" t="s">
        <v>24</v>
      </c>
      <c r="J610" s="1" t="s">
        <v>3048</v>
      </c>
      <c r="K610" s="1" t="s">
        <v>79</v>
      </c>
      <c r="O610" s="1" t="s">
        <v>30</v>
      </c>
      <c r="P610" s="4">
        <v>13.76</v>
      </c>
      <c r="Q610" s="5">
        <f t="shared" si="27"/>
        <v>16.512</v>
      </c>
      <c r="R610" s="4">
        <v>17.2</v>
      </c>
      <c r="S610" s="5">
        <f t="shared" si="28"/>
        <v>20.639999999999997</v>
      </c>
      <c r="T610" s="4">
        <v>20.64</v>
      </c>
      <c r="U610" s="5">
        <f t="shared" si="29"/>
        <v>24.768000000000001</v>
      </c>
      <c r="V610" s="1" t="s">
        <v>31</v>
      </c>
    </row>
    <row r="611" spans="1:22" x14ac:dyDescent="0.2">
      <c r="A611" s="1">
        <v>5603716</v>
      </c>
      <c r="B611" s="1" t="s">
        <v>3049</v>
      </c>
      <c r="C611" s="1" t="str">
        <f>""</f>
        <v/>
      </c>
      <c r="D611" s="1" t="str">
        <f>"9788024640624"</f>
        <v>9788024640624</v>
      </c>
      <c r="E611" s="2" t="s">
        <v>3009</v>
      </c>
      <c r="F611" s="2" t="s">
        <v>3031</v>
      </c>
      <c r="G611" s="1" t="s">
        <v>24</v>
      </c>
      <c r="J611" s="1" t="s">
        <v>3050</v>
      </c>
      <c r="K611" s="1" t="s">
        <v>696</v>
      </c>
      <c r="L611" s="1" t="s">
        <v>3051</v>
      </c>
      <c r="M611" s="1" t="s">
        <v>3052</v>
      </c>
      <c r="N611" s="1" t="s">
        <v>3053</v>
      </c>
      <c r="O611" s="1" t="s">
        <v>39</v>
      </c>
      <c r="P611" s="4">
        <v>18.350000000000001</v>
      </c>
      <c r="Q611" s="5">
        <f t="shared" si="27"/>
        <v>22.02</v>
      </c>
      <c r="R611" s="4">
        <v>22.94</v>
      </c>
      <c r="S611" s="5">
        <f t="shared" si="28"/>
        <v>27.528000000000002</v>
      </c>
      <c r="T611" s="4">
        <v>27.52</v>
      </c>
      <c r="U611" s="5">
        <f t="shared" si="29"/>
        <v>33.024000000000001</v>
      </c>
      <c r="V611" s="1" t="s">
        <v>31</v>
      </c>
    </row>
    <row r="612" spans="1:22" x14ac:dyDescent="0.2">
      <c r="A612" s="1">
        <v>5603717</v>
      </c>
      <c r="B612" s="1" t="s">
        <v>3054</v>
      </c>
      <c r="C612" s="1" t="str">
        <f>""</f>
        <v/>
      </c>
      <c r="D612" s="1" t="str">
        <f>"9788024640372"</f>
        <v>9788024640372</v>
      </c>
      <c r="E612" s="2" t="s">
        <v>3009</v>
      </c>
      <c r="F612" s="2" t="s">
        <v>3031</v>
      </c>
      <c r="G612" s="1" t="s">
        <v>24</v>
      </c>
      <c r="J612" s="1" t="s">
        <v>3055</v>
      </c>
      <c r="K612" s="1" t="s">
        <v>3056</v>
      </c>
      <c r="L612" s="1" t="s">
        <v>3057</v>
      </c>
      <c r="M612" s="1" t="s">
        <v>3058</v>
      </c>
      <c r="N612" s="1" t="s">
        <v>3059</v>
      </c>
      <c r="O612" s="1" t="s">
        <v>39</v>
      </c>
      <c r="P612" s="4">
        <v>21.1</v>
      </c>
      <c r="Q612" s="5">
        <f t="shared" si="27"/>
        <v>25.32</v>
      </c>
      <c r="R612" s="4">
        <v>26.38</v>
      </c>
      <c r="S612" s="5">
        <f t="shared" si="28"/>
        <v>31.655999999999999</v>
      </c>
      <c r="T612" s="4">
        <v>31.65</v>
      </c>
      <c r="U612" s="5">
        <f t="shared" si="29"/>
        <v>37.979999999999997</v>
      </c>
      <c r="V612" s="1" t="s">
        <v>31</v>
      </c>
    </row>
    <row r="613" spans="1:22" x14ac:dyDescent="0.2">
      <c r="A613" s="1">
        <v>5603718</v>
      </c>
      <c r="B613" s="1" t="s">
        <v>3060</v>
      </c>
      <c r="C613" s="1" t="str">
        <f>""</f>
        <v/>
      </c>
      <c r="D613" s="1" t="str">
        <f>"9788024638867"</f>
        <v>9788024638867</v>
      </c>
      <c r="E613" s="2" t="s">
        <v>3030</v>
      </c>
      <c r="F613" s="2" t="s">
        <v>3031</v>
      </c>
      <c r="G613" s="1" t="s">
        <v>24</v>
      </c>
      <c r="J613" s="1" t="s">
        <v>3061</v>
      </c>
      <c r="K613" s="1" t="s">
        <v>1945</v>
      </c>
      <c r="L613" s="1" t="s">
        <v>3062</v>
      </c>
      <c r="M613" s="1" t="s">
        <v>3063</v>
      </c>
      <c r="N613" s="1" t="s">
        <v>3064</v>
      </c>
      <c r="O613" s="1" t="s">
        <v>39</v>
      </c>
      <c r="P613" s="4">
        <v>17.43</v>
      </c>
      <c r="Q613" s="5">
        <f t="shared" si="27"/>
        <v>20.916</v>
      </c>
      <c r="R613" s="4">
        <v>21.79</v>
      </c>
      <c r="S613" s="5">
        <f t="shared" si="28"/>
        <v>26.148</v>
      </c>
      <c r="T613" s="4">
        <v>26.15</v>
      </c>
      <c r="U613" s="5">
        <f t="shared" si="29"/>
        <v>31.379999999999995</v>
      </c>
      <c r="V613" s="1" t="s">
        <v>31</v>
      </c>
    </row>
    <row r="614" spans="1:22" x14ac:dyDescent="0.2">
      <c r="A614" s="1">
        <v>5622451</v>
      </c>
      <c r="B614" s="1" t="s">
        <v>3065</v>
      </c>
      <c r="C614" s="1" t="str">
        <f>""</f>
        <v/>
      </c>
      <c r="D614" s="1" t="str">
        <f>"9788024638171"</f>
        <v>9788024638171</v>
      </c>
      <c r="E614" s="2" t="s">
        <v>2982</v>
      </c>
      <c r="F614" s="2" t="s">
        <v>3066</v>
      </c>
      <c r="G614" s="1" t="s">
        <v>24</v>
      </c>
      <c r="J614" s="1" t="s">
        <v>936</v>
      </c>
      <c r="K614" s="1" t="s">
        <v>131</v>
      </c>
      <c r="L614" s="1" t="s">
        <v>3067</v>
      </c>
      <c r="M614" s="1" t="s">
        <v>3068</v>
      </c>
      <c r="N614" s="1" t="s">
        <v>3069</v>
      </c>
      <c r="O614" s="1" t="s">
        <v>171</v>
      </c>
      <c r="P614" s="4">
        <v>13.76</v>
      </c>
      <c r="Q614" s="5">
        <f t="shared" si="27"/>
        <v>16.512</v>
      </c>
      <c r="R614" s="4">
        <v>17.2</v>
      </c>
      <c r="S614" s="5">
        <f t="shared" si="28"/>
        <v>20.639999999999997</v>
      </c>
      <c r="T614" s="4">
        <v>20.64</v>
      </c>
      <c r="U614" s="5">
        <f t="shared" si="29"/>
        <v>24.768000000000001</v>
      </c>
      <c r="V614" s="1" t="s">
        <v>31</v>
      </c>
    </row>
    <row r="615" spans="1:22" x14ac:dyDescent="0.2">
      <c r="A615" s="1">
        <v>5622452</v>
      </c>
      <c r="B615" s="1" t="s">
        <v>3070</v>
      </c>
      <c r="C615" s="1" t="str">
        <f>""</f>
        <v/>
      </c>
      <c r="D615" s="1" t="str">
        <f>"9788024640631"</f>
        <v>9788024640631</v>
      </c>
      <c r="E615" s="2" t="s">
        <v>3030</v>
      </c>
      <c r="F615" s="2" t="s">
        <v>3066</v>
      </c>
      <c r="G615" s="1" t="s">
        <v>24</v>
      </c>
      <c r="I615" s="1" t="s">
        <v>3071</v>
      </c>
      <c r="J615" s="1" t="s">
        <v>3050</v>
      </c>
      <c r="K615" s="1" t="s">
        <v>150</v>
      </c>
      <c r="L615" s="1" t="s">
        <v>3072</v>
      </c>
      <c r="M615" s="1">
        <v>230</v>
      </c>
      <c r="N615" s="1" t="s">
        <v>2140</v>
      </c>
      <c r="O615" s="1" t="s">
        <v>39</v>
      </c>
      <c r="P615" s="4">
        <v>19.27</v>
      </c>
      <c r="Q615" s="5">
        <f t="shared" si="27"/>
        <v>23.123999999999999</v>
      </c>
      <c r="R615" s="4">
        <v>24.08</v>
      </c>
      <c r="S615" s="5">
        <f t="shared" si="28"/>
        <v>28.895999999999997</v>
      </c>
      <c r="T615" s="4">
        <v>28.9</v>
      </c>
      <c r="U615" s="5">
        <f t="shared" si="29"/>
        <v>34.68</v>
      </c>
      <c r="V615" s="1" t="s">
        <v>31</v>
      </c>
    </row>
    <row r="616" spans="1:22" x14ac:dyDescent="0.2">
      <c r="A616" s="1">
        <v>5622453</v>
      </c>
      <c r="B616" s="1" t="s">
        <v>3073</v>
      </c>
      <c r="C616" s="1" t="str">
        <f>""</f>
        <v/>
      </c>
      <c r="D616" s="1" t="str">
        <f>"9788024640754"</f>
        <v>9788024640754</v>
      </c>
      <c r="E616" s="2" t="s">
        <v>3074</v>
      </c>
      <c r="F616" s="2" t="s">
        <v>3066</v>
      </c>
      <c r="G616" s="1" t="s">
        <v>24</v>
      </c>
      <c r="J616" s="1" t="s">
        <v>624</v>
      </c>
      <c r="K616" s="1" t="s">
        <v>43</v>
      </c>
      <c r="L616" s="1" t="s">
        <v>3075</v>
      </c>
      <c r="M616" s="1" t="s">
        <v>3076</v>
      </c>
      <c r="N616" s="1" t="s">
        <v>3077</v>
      </c>
      <c r="O616" s="1" t="s">
        <v>39</v>
      </c>
      <c r="P616" s="4">
        <v>14.68</v>
      </c>
      <c r="Q616" s="5">
        <f t="shared" si="27"/>
        <v>17.616</v>
      </c>
      <c r="R616" s="4">
        <v>18.350000000000001</v>
      </c>
      <c r="S616" s="5">
        <f t="shared" si="28"/>
        <v>22.02</v>
      </c>
      <c r="T616" s="4">
        <v>22.02</v>
      </c>
      <c r="U616" s="5">
        <f t="shared" si="29"/>
        <v>26.423999999999999</v>
      </c>
      <c r="V616" s="1" t="s">
        <v>31</v>
      </c>
    </row>
    <row r="617" spans="1:22" x14ac:dyDescent="0.2">
      <c r="A617" s="1">
        <v>5622454</v>
      </c>
      <c r="B617" s="1" t="s">
        <v>3078</v>
      </c>
      <c r="C617" s="1" t="str">
        <f>""</f>
        <v/>
      </c>
      <c r="D617" s="1" t="str">
        <f>"9788024639987"</f>
        <v>9788024639987</v>
      </c>
      <c r="E617" s="2" t="s">
        <v>3009</v>
      </c>
      <c r="F617" s="2" t="s">
        <v>3066</v>
      </c>
      <c r="G617" s="1" t="s">
        <v>24</v>
      </c>
      <c r="J617" s="1" t="s">
        <v>3079</v>
      </c>
      <c r="K617" s="1" t="s">
        <v>111</v>
      </c>
      <c r="L617" s="1" t="s">
        <v>3080</v>
      </c>
      <c r="M617" s="1" t="s">
        <v>784</v>
      </c>
      <c r="N617" s="1" t="s">
        <v>3081</v>
      </c>
      <c r="O617" s="1" t="s">
        <v>39</v>
      </c>
      <c r="P617" s="4">
        <v>22.94</v>
      </c>
      <c r="Q617" s="5">
        <f t="shared" si="27"/>
        <v>27.528000000000002</v>
      </c>
      <c r="R617" s="4">
        <v>28.67</v>
      </c>
      <c r="S617" s="5">
        <f t="shared" si="28"/>
        <v>34.404000000000003</v>
      </c>
      <c r="T617" s="4">
        <v>34.4</v>
      </c>
      <c r="U617" s="5">
        <f t="shared" si="29"/>
        <v>41.279999999999994</v>
      </c>
      <c r="V617" s="1" t="s">
        <v>31</v>
      </c>
    </row>
    <row r="618" spans="1:22" x14ac:dyDescent="0.2">
      <c r="A618" s="1">
        <v>5622455</v>
      </c>
      <c r="B618" s="1" t="s">
        <v>3082</v>
      </c>
      <c r="C618" s="1" t="str">
        <f>""</f>
        <v/>
      </c>
      <c r="D618" s="1" t="str">
        <f>"9788024641027"</f>
        <v>9788024641027</v>
      </c>
      <c r="E618" s="2" t="s">
        <v>3074</v>
      </c>
      <c r="F618" s="2" t="s">
        <v>3066</v>
      </c>
      <c r="G618" s="1" t="s">
        <v>24</v>
      </c>
      <c r="J618" s="1" t="s">
        <v>3083</v>
      </c>
      <c r="K618" s="1" t="s">
        <v>242</v>
      </c>
      <c r="L618" s="1" t="s">
        <v>3084</v>
      </c>
      <c r="M618" s="1" t="s">
        <v>3085</v>
      </c>
      <c r="N618" s="1" t="s">
        <v>3086</v>
      </c>
      <c r="O618" s="1" t="s">
        <v>39</v>
      </c>
      <c r="P618" s="4">
        <v>13.76</v>
      </c>
      <c r="Q618" s="5">
        <f t="shared" si="27"/>
        <v>16.512</v>
      </c>
      <c r="R618" s="4">
        <v>17.2</v>
      </c>
      <c r="S618" s="5">
        <f t="shared" si="28"/>
        <v>20.639999999999997</v>
      </c>
      <c r="T618" s="4">
        <v>20.64</v>
      </c>
      <c r="U618" s="5">
        <f t="shared" si="29"/>
        <v>24.768000000000001</v>
      </c>
      <c r="V618" s="1" t="s">
        <v>31</v>
      </c>
    </row>
    <row r="619" spans="1:22" x14ac:dyDescent="0.2">
      <c r="A619" s="1">
        <v>5622456</v>
      </c>
      <c r="B619" s="1" t="s">
        <v>3087</v>
      </c>
      <c r="C619" s="1" t="str">
        <f>""</f>
        <v/>
      </c>
      <c r="D619" s="1" t="str">
        <f>"9788024641089"</f>
        <v>9788024641089</v>
      </c>
      <c r="E619" s="2" t="s">
        <v>3030</v>
      </c>
      <c r="F619" s="2" t="s">
        <v>3066</v>
      </c>
      <c r="G619" s="1" t="s">
        <v>24</v>
      </c>
      <c r="J619" s="1" t="s">
        <v>3088</v>
      </c>
      <c r="K619" s="1" t="s">
        <v>43</v>
      </c>
      <c r="L619" s="1" t="s">
        <v>3089</v>
      </c>
      <c r="M619" s="1" t="s">
        <v>3090</v>
      </c>
      <c r="N619" s="1" t="s">
        <v>3091</v>
      </c>
      <c r="O619" s="1" t="s">
        <v>39</v>
      </c>
      <c r="P619" s="4">
        <v>16.510000000000002</v>
      </c>
      <c r="Q619" s="5">
        <f t="shared" si="27"/>
        <v>19.812000000000001</v>
      </c>
      <c r="R619" s="4">
        <v>20.64</v>
      </c>
      <c r="S619" s="5">
        <f t="shared" si="28"/>
        <v>24.768000000000001</v>
      </c>
      <c r="T619" s="4">
        <v>24.77</v>
      </c>
      <c r="U619" s="5">
        <f t="shared" si="29"/>
        <v>29.723999999999997</v>
      </c>
      <c r="V619" s="1" t="s">
        <v>31</v>
      </c>
    </row>
    <row r="620" spans="1:22" x14ac:dyDescent="0.2">
      <c r="A620" s="1">
        <v>5622457</v>
      </c>
      <c r="B620" s="1" t="s">
        <v>3092</v>
      </c>
      <c r="C620" s="1" t="str">
        <f>""</f>
        <v/>
      </c>
      <c r="D620" s="1" t="str">
        <f>"9788024641409"</f>
        <v>9788024641409</v>
      </c>
      <c r="E620" s="2" t="s">
        <v>3030</v>
      </c>
      <c r="F620" s="2" t="s">
        <v>3066</v>
      </c>
      <c r="G620" s="1" t="s">
        <v>24</v>
      </c>
      <c r="J620" s="1" t="s">
        <v>3093</v>
      </c>
      <c r="K620" s="1" t="s">
        <v>43</v>
      </c>
      <c r="L620" s="1" t="s">
        <v>3094</v>
      </c>
      <c r="M620" s="1" t="s">
        <v>3095</v>
      </c>
      <c r="N620" s="1" t="s">
        <v>3096</v>
      </c>
      <c r="O620" s="1" t="s">
        <v>39</v>
      </c>
      <c r="P620" s="4">
        <v>17.43</v>
      </c>
      <c r="Q620" s="5">
        <f t="shared" si="27"/>
        <v>20.916</v>
      </c>
      <c r="R620" s="4">
        <v>21.79</v>
      </c>
      <c r="S620" s="5">
        <f t="shared" si="28"/>
        <v>26.148</v>
      </c>
      <c r="T620" s="4">
        <v>26.15</v>
      </c>
      <c r="U620" s="5">
        <f t="shared" si="29"/>
        <v>31.379999999999995</v>
      </c>
      <c r="V620" s="1" t="s">
        <v>31</v>
      </c>
    </row>
    <row r="621" spans="1:22" x14ac:dyDescent="0.2">
      <c r="A621" s="1">
        <v>5649138</v>
      </c>
      <c r="B621" s="1" t="s">
        <v>3097</v>
      </c>
      <c r="C621" s="1" t="str">
        <f>""</f>
        <v/>
      </c>
      <c r="D621" s="1" t="str">
        <f>"9788024641492"</f>
        <v>9788024641492</v>
      </c>
      <c r="E621" s="2" t="s">
        <v>3098</v>
      </c>
      <c r="F621" s="2" t="s">
        <v>3099</v>
      </c>
      <c r="G621" s="1" t="s">
        <v>24</v>
      </c>
      <c r="J621" s="1" t="s">
        <v>3100</v>
      </c>
      <c r="K621" s="1" t="s">
        <v>181</v>
      </c>
      <c r="L621" s="1" t="s">
        <v>3101</v>
      </c>
      <c r="M621" s="1" t="s">
        <v>183</v>
      </c>
      <c r="N621" s="1" t="s">
        <v>2107</v>
      </c>
      <c r="O621" s="1" t="s">
        <v>39</v>
      </c>
      <c r="P621" s="4">
        <v>13.76</v>
      </c>
      <c r="Q621" s="5">
        <f t="shared" si="27"/>
        <v>16.512</v>
      </c>
      <c r="R621" s="4">
        <v>17.2</v>
      </c>
      <c r="S621" s="5">
        <f t="shared" si="28"/>
        <v>20.639999999999997</v>
      </c>
      <c r="T621" s="4">
        <v>20.64</v>
      </c>
      <c r="U621" s="5">
        <f t="shared" si="29"/>
        <v>24.768000000000001</v>
      </c>
      <c r="V621" s="1" t="s">
        <v>31</v>
      </c>
    </row>
    <row r="622" spans="1:22" x14ac:dyDescent="0.2">
      <c r="A622" s="1">
        <v>5649139</v>
      </c>
      <c r="B622" s="1" t="s">
        <v>3102</v>
      </c>
      <c r="C622" s="1" t="str">
        <f>""</f>
        <v/>
      </c>
      <c r="D622" s="1" t="str">
        <f>"9788024639994"</f>
        <v>9788024639994</v>
      </c>
      <c r="E622" s="2" t="s">
        <v>3098</v>
      </c>
      <c r="F622" s="2" t="s">
        <v>3099</v>
      </c>
      <c r="G622" s="1" t="s">
        <v>24</v>
      </c>
      <c r="J622" s="1" t="s">
        <v>3103</v>
      </c>
      <c r="K622" s="1" t="s">
        <v>248</v>
      </c>
      <c r="L622" s="1" t="s">
        <v>3104</v>
      </c>
      <c r="M622" s="1" t="s">
        <v>3105</v>
      </c>
      <c r="N622" s="1" t="s">
        <v>3106</v>
      </c>
      <c r="O622" s="1" t="s">
        <v>39</v>
      </c>
      <c r="P622" s="4">
        <v>13.76</v>
      </c>
      <c r="Q622" s="5">
        <f t="shared" si="27"/>
        <v>16.512</v>
      </c>
      <c r="R622" s="4">
        <v>17.2</v>
      </c>
      <c r="S622" s="5">
        <f t="shared" si="28"/>
        <v>20.639999999999997</v>
      </c>
      <c r="T622" s="4">
        <v>20.64</v>
      </c>
      <c r="U622" s="5">
        <f t="shared" si="29"/>
        <v>24.768000000000001</v>
      </c>
      <c r="V622" s="1" t="s">
        <v>31</v>
      </c>
    </row>
    <row r="623" spans="1:22" x14ac:dyDescent="0.2">
      <c r="A623" s="1">
        <v>5649140</v>
      </c>
      <c r="B623" s="1" t="s">
        <v>3107</v>
      </c>
      <c r="C623" s="1" t="str">
        <f>""</f>
        <v/>
      </c>
      <c r="D623" s="1" t="str">
        <f>"9788024641782"</f>
        <v>9788024641782</v>
      </c>
      <c r="E623" s="2" t="s">
        <v>3098</v>
      </c>
      <c r="F623" s="2" t="s">
        <v>3099</v>
      </c>
      <c r="G623" s="1" t="s">
        <v>24</v>
      </c>
      <c r="J623" s="1" t="s">
        <v>3108</v>
      </c>
      <c r="K623" s="1" t="s">
        <v>260</v>
      </c>
      <c r="L623" s="1" t="s">
        <v>3109</v>
      </c>
      <c r="M623" s="1" t="s">
        <v>3110</v>
      </c>
      <c r="N623" s="1" t="s">
        <v>3111</v>
      </c>
      <c r="O623" s="1" t="s">
        <v>39</v>
      </c>
      <c r="P623" s="4">
        <v>24.77</v>
      </c>
      <c r="Q623" s="5">
        <f t="shared" si="27"/>
        <v>29.723999999999997</v>
      </c>
      <c r="R623" s="4">
        <v>30.96</v>
      </c>
      <c r="S623" s="5">
        <f t="shared" si="28"/>
        <v>37.152000000000001</v>
      </c>
      <c r="T623" s="4">
        <v>37.159999999999997</v>
      </c>
      <c r="U623" s="5">
        <f t="shared" si="29"/>
        <v>44.591999999999992</v>
      </c>
      <c r="V623" s="1" t="s">
        <v>31</v>
      </c>
    </row>
    <row r="624" spans="1:22" x14ac:dyDescent="0.2">
      <c r="A624" s="1">
        <v>5649141</v>
      </c>
      <c r="B624" s="1" t="s">
        <v>3112</v>
      </c>
      <c r="C624" s="1" t="str">
        <f>""</f>
        <v/>
      </c>
      <c r="D624" s="1" t="str">
        <f>"9788024639468"</f>
        <v>9788024639468</v>
      </c>
      <c r="E624" s="2" t="s">
        <v>3030</v>
      </c>
      <c r="F624" s="2" t="s">
        <v>3099</v>
      </c>
      <c r="G624" s="1" t="s">
        <v>24</v>
      </c>
      <c r="J624" s="1" t="s">
        <v>259</v>
      </c>
      <c r="K624" s="1" t="s">
        <v>72</v>
      </c>
      <c r="L624" s="1" t="s">
        <v>3113</v>
      </c>
      <c r="M624" s="1" t="s">
        <v>3114</v>
      </c>
      <c r="N624" s="1" t="s">
        <v>3115</v>
      </c>
      <c r="O624" s="1" t="s">
        <v>39</v>
      </c>
      <c r="P624" s="4">
        <v>22.94</v>
      </c>
      <c r="Q624" s="5">
        <f t="shared" si="27"/>
        <v>27.528000000000002</v>
      </c>
      <c r="R624" s="4">
        <v>28.67</v>
      </c>
      <c r="S624" s="5">
        <f t="shared" si="28"/>
        <v>34.404000000000003</v>
      </c>
      <c r="T624" s="4">
        <v>34.4</v>
      </c>
      <c r="U624" s="5">
        <f t="shared" si="29"/>
        <v>41.279999999999994</v>
      </c>
      <c r="V624" s="1" t="s">
        <v>31</v>
      </c>
    </row>
    <row r="625" spans="1:22" x14ac:dyDescent="0.2">
      <c r="A625" s="1">
        <v>5649142</v>
      </c>
      <c r="B625" s="1" t="s">
        <v>3116</v>
      </c>
      <c r="C625" s="1" t="str">
        <f>""</f>
        <v/>
      </c>
      <c r="D625" s="1" t="str">
        <f>"9788024641058"</f>
        <v>9788024641058</v>
      </c>
      <c r="E625" s="2" t="s">
        <v>3074</v>
      </c>
      <c r="F625" s="2" t="s">
        <v>3099</v>
      </c>
      <c r="G625" s="1" t="s">
        <v>24</v>
      </c>
      <c r="J625" s="1" t="s">
        <v>1550</v>
      </c>
      <c r="K625" s="1" t="s">
        <v>353</v>
      </c>
      <c r="L625" s="1" t="s">
        <v>3117</v>
      </c>
      <c r="M625" s="1" t="s">
        <v>3118</v>
      </c>
      <c r="N625" s="1" t="s">
        <v>3119</v>
      </c>
      <c r="O625" s="1" t="s">
        <v>39</v>
      </c>
      <c r="P625" s="4">
        <v>13.76</v>
      </c>
      <c r="Q625" s="5">
        <f t="shared" si="27"/>
        <v>16.512</v>
      </c>
      <c r="R625" s="4">
        <v>17.2</v>
      </c>
      <c r="S625" s="5">
        <f t="shared" si="28"/>
        <v>20.639999999999997</v>
      </c>
      <c r="T625" s="4">
        <v>20.64</v>
      </c>
      <c r="U625" s="5">
        <f t="shared" si="29"/>
        <v>24.768000000000001</v>
      </c>
      <c r="V625" s="1" t="s">
        <v>31</v>
      </c>
    </row>
    <row r="626" spans="1:22" x14ac:dyDescent="0.2">
      <c r="A626" s="1">
        <v>5649143</v>
      </c>
      <c r="B626" s="1" t="s">
        <v>3120</v>
      </c>
      <c r="C626" s="1" t="str">
        <f>""</f>
        <v/>
      </c>
      <c r="D626" s="1" t="str">
        <f>"9788024641904"</f>
        <v>9788024641904</v>
      </c>
      <c r="E626" s="2" t="s">
        <v>3098</v>
      </c>
      <c r="F626" s="2" t="s">
        <v>3099</v>
      </c>
      <c r="G626" s="1" t="s">
        <v>24</v>
      </c>
      <c r="J626" s="1" t="s">
        <v>3121</v>
      </c>
      <c r="K626" s="1" t="s">
        <v>2242</v>
      </c>
      <c r="L626" s="1" t="s">
        <v>3122</v>
      </c>
      <c r="M626" s="1" t="s">
        <v>3123</v>
      </c>
      <c r="N626" s="1" t="s">
        <v>3124</v>
      </c>
      <c r="O626" s="1" t="s">
        <v>39</v>
      </c>
      <c r="P626" s="4">
        <v>18.350000000000001</v>
      </c>
      <c r="Q626" s="5">
        <f t="shared" si="27"/>
        <v>22.02</v>
      </c>
      <c r="R626" s="4">
        <v>22.94</v>
      </c>
      <c r="S626" s="5">
        <f t="shared" si="28"/>
        <v>27.528000000000002</v>
      </c>
      <c r="T626" s="4">
        <v>27.52</v>
      </c>
      <c r="U626" s="5">
        <f t="shared" si="29"/>
        <v>33.024000000000001</v>
      </c>
      <c r="V626" s="1" t="s">
        <v>31</v>
      </c>
    </row>
    <row r="627" spans="1:22" x14ac:dyDescent="0.2">
      <c r="A627" s="1">
        <v>5649144</v>
      </c>
      <c r="B627" s="1" t="s">
        <v>3125</v>
      </c>
      <c r="C627" s="1" t="str">
        <f>""</f>
        <v/>
      </c>
      <c r="D627" s="1" t="str">
        <f>"9788024636894"</f>
        <v>9788024636894</v>
      </c>
      <c r="E627" s="2" t="s">
        <v>3074</v>
      </c>
      <c r="F627" s="2" t="s">
        <v>3099</v>
      </c>
      <c r="G627" s="1" t="s">
        <v>24</v>
      </c>
      <c r="J627" s="1" t="s">
        <v>3126</v>
      </c>
      <c r="K627" s="1" t="s">
        <v>111</v>
      </c>
      <c r="L627" s="1" t="s">
        <v>3127</v>
      </c>
      <c r="M627" s="1" t="s">
        <v>3128</v>
      </c>
      <c r="N627" s="1" t="s">
        <v>3129</v>
      </c>
      <c r="O627" s="1" t="s">
        <v>39</v>
      </c>
      <c r="P627" s="4">
        <v>19.27</v>
      </c>
      <c r="Q627" s="5">
        <f t="shared" si="27"/>
        <v>23.123999999999999</v>
      </c>
      <c r="R627" s="4">
        <v>24.08</v>
      </c>
      <c r="S627" s="5">
        <f t="shared" si="28"/>
        <v>28.895999999999997</v>
      </c>
      <c r="T627" s="4">
        <v>28.9</v>
      </c>
      <c r="U627" s="5">
        <f t="shared" si="29"/>
        <v>34.68</v>
      </c>
      <c r="V627" s="1" t="s">
        <v>31</v>
      </c>
    </row>
    <row r="628" spans="1:22" x14ac:dyDescent="0.2">
      <c r="A628" s="1">
        <v>5649145</v>
      </c>
      <c r="B628" s="1" t="s">
        <v>3130</v>
      </c>
      <c r="C628" s="1" t="str">
        <f>""</f>
        <v/>
      </c>
      <c r="D628" s="1" t="str">
        <f>"9788024641508"</f>
        <v>9788024641508</v>
      </c>
      <c r="E628" s="2" t="s">
        <v>3030</v>
      </c>
      <c r="F628" s="2" t="s">
        <v>3099</v>
      </c>
      <c r="G628" s="1" t="s">
        <v>24</v>
      </c>
      <c r="J628" s="1" t="s">
        <v>3131</v>
      </c>
      <c r="K628" s="1" t="s">
        <v>64</v>
      </c>
      <c r="L628" s="1" t="s">
        <v>3132</v>
      </c>
      <c r="M628" s="1" t="s">
        <v>3133</v>
      </c>
      <c r="N628" s="1" t="s">
        <v>3134</v>
      </c>
      <c r="O628" s="1" t="s">
        <v>39</v>
      </c>
      <c r="P628" s="4">
        <v>18.350000000000001</v>
      </c>
      <c r="Q628" s="5">
        <f t="shared" si="27"/>
        <v>22.02</v>
      </c>
      <c r="R628" s="4">
        <v>22.94</v>
      </c>
      <c r="S628" s="5">
        <f t="shared" si="28"/>
        <v>27.528000000000002</v>
      </c>
      <c r="T628" s="4">
        <v>27.52</v>
      </c>
      <c r="U628" s="5">
        <f t="shared" si="29"/>
        <v>33.024000000000001</v>
      </c>
      <c r="V628" s="1" t="s">
        <v>31</v>
      </c>
    </row>
    <row r="629" spans="1:22" x14ac:dyDescent="0.2">
      <c r="A629" s="1">
        <v>5720123</v>
      </c>
      <c r="B629" s="1" t="s">
        <v>3135</v>
      </c>
      <c r="C629" s="1" t="str">
        <f>"9788024622279"</f>
        <v>9788024622279</v>
      </c>
      <c r="D629" s="1" t="str">
        <f>"9788024631356"</f>
        <v>9788024631356</v>
      </c>
      <c r="E629" s="2" t="s">
        <v>3074</v>
      </c>
      <c r="F629" s="2" t="s">
        <v>3136</v>
      </c>
      <c r="G629" s="1" t="s">
        <v>24</v>
      </c>
      <c r="J629" s="1" t="s">
        <v>3137</v>
      </c>
      <c r="K629" s="1" t="s">
        <v>111</v>
      </c>
      <c r="L629" s="1" t="s">
        <v>3138</v>
      </c>
      <c r="M629" s="1" t="s">
        <v>3139</v>
      </c>
      <c r="N629" s="1" t="s">
        <v>3081</v>
      </c>
      <c r="O629" s="1" t="s">
        <v>30</v>
      </c>
      <c r="P629" s="4">
        <v>44.04</v>
      </c>
      <c r="Q629" s="5">
        <f t="shared" si="27"/>
        <v>52.847999999999999</v>
      </c>
      <c r="R629" s="4">
        <v>55.05</v>
      </c>
      <c r="S629" s="5">
        <f t="shared" si="28"/>
        <v>66.059999999999988</v>
      </c>
      <c r="T629" s="4">
        <v>66.06</v>
      </c>
      <c r="U629" s="5">
        <f t="shared" si="29"/>
        <v>79.272000000000006</v>
      </c>
      <c r="V629" s="1" t="s">
        <v>31</v>
      </c>
    </row>
    <row r="630" spans="1:22" x14ac:dyDescent="0.2">
      <c r="A630" s="1">
        <v>5720124</v>
      </c>
      <c r="B630" s="1" t="s">
        <v>3140</v>
      </c>
      <c r="C630" s="1" t="str">
        <f>"9788024635873"</f>
        <v>9788024635873</v>
      </c>
      <c r="D630" s="1" t="str">
        <f>"9788024635972"</f>
        <v>9788024635972</v>
      </c>
      <c r="E630" s="2" t="s">
        <v>2605</v>
      </c>
      <c r="F630" s="2" t="s">
        <v>3136</v>
      </c>
      <c r="G630" s="1" t="s">
        <v>24</v>
      </c>
      <c r="J630" s="1" t="s">
        <v>3141</v>
      </c>
      <c r="K630" s="1" t="s">
        <v>1654</v>
      </c>
      <c r="L630" s="1" t="s">
        <v>3142</v>
      </c>
      <c r="M630" s="1">
        <v>362</v>
      </c>
      <c r="N630" s="1" t="s">
        <v>3143</v>
      </c>
      <c r="O630" s="1" t="s">
        <v>39</v>
      </c>
      <c r="P630" s="4">
        <v>16.510000000000002</v>
      </c>
      <c r="Q630" s="5">
        <f t="shared" si="27"/>
        <v>19.812000000000001</v>
      </c>
      <c r="R630" s="4">
        <v>20.64</v>
      </c>
      <c r="S630" s="5">
        <f t="shared" si="28"/>
        <v>24.768000000000001</v>
      </c>
      <c r="T630" s="4">
        <v>24.77</v>
      </c>
      <c r="U630" s="5">
        <f t="shared" si="29"/>
        <v>29.723999999999997</v>
      </c>
      <c r="V630" s="1" t="s">
        <v>31</v>
      </c>
    </row>
    <row r="631" spans="1:22" x14ac:dyDescent="0.2">
      <c r="A631" s="1">
        <v>5720125</v>
      </c>
      <c r="B631" s="1" t="s">
        <v>3144</v>
      </c>
      <c r="C631" s="1" t="str">
        <f>"9788024640587"</f>
        <v>9788024640587</v>
      </c>
      <c r="D631" s="1" t="str">
        <f>"9788024641010"</f>
        <v>9788024641010</v>
      </c>
      <c r="E631" s="2" t="s">
        <v>3098</v>
      </c>
      <c r="F631" s="2" t="s">
        <v>3136</v>
      </c>
      <c r="G631" s="1" t="s">
        <v>24</v>
      </c>
      <c r="J631" s="1" t="s">
        <v>3145</v>
      </c>
      <c r="K631" s="1" t="s">
        <v>863</v>
      </c>
      <c r="L631" s="1" t="s">
        <v>3146</v>
      </c>
      <c r="M631" s="1">
        <v>612</v>
      </c>
      <c r="N631" s="1" t="s">
        <v>3147</v>
      </c>
      <c r="O631" s="1" t="s">
        <v>39</v>
      </c>
      <c r="P631" s="4">
        <v>13.76</v>
      </c>
      <c r="Q631" s="5">
        <f t="shared" si="27"/>
        <v>16.512</v>
      </c>
      <c r="R631" s="4">
        <v>17.2</v>
      </c>
      <c r="S631" s="5">
        <f t="shared" si="28"/>
        <v>20.639999999999997</v>
      </c>
      <c r="T631" s="4">
        <v>20.64</v>
      </c>
      <c r="U631" s="5">
        <f t="shared" si="29"/>
        <v>24.768000000000001</v>
      </c>
      <c r="V631" s="1" t="s">
        <v>31</v>
      </c>
    </row>
    <row r="632" spans="1:22" x14ac:dyDescent="0.2">
      <c r="A632" s="1">
        <v>5720126</v>
      </c>
      <c r="B632" s="1" t="s">
        <v>3148</v>
      </c>
      <c r="C632" s="1" t="str">
        <f>"9788024641263"</f>
        <v>9788024641263</v>
      </c>
      <c r="D632" s="1" t="str">
        <f>"9788024641454"</f>
        <v>9788024641454</v>
      </c>
      <c r="E632" s="2" t="s">
        <v>3149</v>
      </c>
      <c r="F632" s="2" t="s">
        <v>3136</v>
      </c>
      <c r="G632" s="1" t="s">
        <v>24</v>
      </c>
      <c r="J632" s="1" t="s">
        <v>3150</v>
      </c>
      <c r="K632" s="1" t="s">
        <v>449</v>
      </c>
      <c r="L632" s="1" t="s">
        <v>3151</v>
      </c>
      <c r="M632" s="1" t="s">
        <v>446</v>
      </c>
      <c r="N632" s="1" t="s">
        <v>2542</v>
      </c>
      <c r="O632" s="1" t="s">
        <v>39</v>
      </c>
      <c r="P632" s="4">
        <v>13.76</v>
      </c>
      <c r="Q632" s="5">
        <f t="shared" si="27"/>
        <v>16.512</v>
      </c>
      <c r="R632" s="4">
        <v>17.2</v>
      </c>
      <c r="S632" s="5">
        <f t="shared" si="28"/>
        <v>20.639999999999997</v>
      </c>
      <c r="T632" s="4">
        <v>20.64</v>
      </c>
      <c r="U632" s="5">
        <f t="shared" si="29"/>
        <v>24.768000000000001</v>
      </c>
      <c r="V632" s="1" t="s">
        <v>31</v>
      </c>
    </row>
    <row r="633" spans="1:22" x14ac:dyDescent="0.2">
      <c r="A633" s="1">
        <v>5720127</v>
      </c>
      <c r="B633" s="1" t="s">
        <v>2675</v>
      </c>
      <c r="C633" s="1" t="str">
        <f>"9788024641935"</f>
        <v>9788024641935</v>
      </c>
      <c r="D633" s="1" t="str">
        <f>"9788024642055"</f>
        <v>9788024642055</v>
      </c>
      <c r="E633" s="2" t="s">
        <v>3074</v>
      </c>
      <c r="F633" s="2" t="s">
        <v>3136</v>
      </c>
      <c r="G633" s="1" t="s">
        <v>24</v>
      </c>
      <c r="I633" s="1" t="s">
        <v>187</v>
      </c>
      <c r="J633" s="1" t="s">
        <v>3152</v>
      </c>
      <c r="K633" s="1" t="s">
        <v>181</v>
      </c>
      <c r="L633" s="1" t="s">
        <v>3153</v>
      </c>
      <c r="M633" s="1" t="s">
        <v>3154</v>
      </c>
      <c r="N633" s="1" t="s">
        <v>3155</v>
      </c>
      <c r="O633" s="1" t="s">
        <v>3156</v>
      </c>
      <c r="P633" s="4">
        <v>13.76</v>
      </c>
      <c r="Q633" s="5">
        <f t="shared" si="27"/>
        <v>16.512</v>
      </c>
      <c r="R633" s="4">
        <v>17.2</v>
      </c>
      <c r="S633" s="5">
        <f t="shared" si="28"/>
        <v>20.639999999999997</v>
      </c>
      <c r="T633" s="4">
        <v>20.64</v>
      </c>
      <c r="U633" s="5">
        <f t="shared" si="29"/>
        <v>24.768000000000001</v>
      </c>
      <c r="V633" s="1" t="s">
        <v>31</v>
      </c>
    </row>
    <row r="634" spans="1:22" x14ac:dyDescent="0.2">
      <c r="A634" s="1">
        <v>5720128</v>
      </c>
      <c r="B634" s="1" t="s">
        <v>3157</v>
      </c>
      <c r="C634" s="1" t="str">
        <f>"9788024633558"</f>
        <v>9788024633558</v>
      </c>
      <c r="D634" s="1" t="str">
        <f>"9788024633862"</f>
        <v>9788024633862</v>
      </c>
      <c r="E634" s="2" t="s">
        <v>3009</v>
      </c>
      <c r="F634" s="2" t="s">
        <v>3136</v>
      </c>
      <c r="G634" s="1" t="s">
        <v>24</v>
      </c>
      <c r="J634" s="1" t="s">
        <v>3158</v>
      </c>
      <c r="K634" s="1" t="s">
        <v>260</v>
      </c>
      <c r="L634" s="1" t="s">
        <v>3159</v>
      </c>
      <c r="M634" s="1">
        <v>378</v>
      </c>
      <c r="N634" s="1" t="s">
        <v>2732</v>
      </c>
      <c r="O634" s="1" t="s">
        <v>39</v>
      </c>
      <c r="P634" s="4">
        <v>22.02</v>
      </c>
      <c r="Q634" s="5">
        <f t="shared" si="27"/>
        <v>26.423999999999999</v>
      </c>
      <c r="R634" s="4">
        <v>27.52</v>
      </c>
      <c r="S634" s="5">
        <f t="shared" si="28"/>
        <v>33.024000000000001</v>
      </c>
      <c r="T634" s="4">
        <v>33.03</v>
      </c>
      <c r="U634" s="5">
        <f t="shared" si="29"/>
        <v>39.636000000000003</v>
      </c>
      <c r="V634" s="1" t="s">
        <v>31</v>
      </c>
    </row>
    <row r="635" spans="1:22" x14ac:dyDescent="0.2">
      <c r="A635" s="1">
        <v>5720129</v>
      </c>
      <c r="B635" s="1" t="s">
        <v>3160</v>
      </c>
      <c r="C635" s="1" t="str">
        <f>"9788024639925"</f>
        <v>9788024639925</v>
      </c>
      <c r="D635" s="1" t="str">
        <f>"9788024642185"</f>
        <v>9788024642185</v>
      </c>
      <c r="E635" s="2" t="s">
        <v>3098</v>
      </c>
      <c r="F635" s="2" t="s">
        <v>3136</v>
      </c>
      <c r="G635" s="1" t="s">
        <v>24</v>
      </c>
      <c r="J635" s="1" t="s">
        <v>3161</v>
      </c>
      <c r="K635" s="1" t="s">
        <v>150</v>
      </c>
      <c r="L635" s="1" t="s">
        <v>3162</v>
      </c>
      <c r="M635" s="1" t="s">
        <v>3163</v>
      </c>
      <c r="N635" s="1" t="s">
        <v>3164</v>
      </c>
      <c r="O635" s="1" t="s">
        <v>39</v>
      </c>
      <c r="P635" s="4">
        <v>17.43</v>
      </c>
      <c r="Q635" s="5">
        <f t="shared" si="27"/>
        <v>20.916</v>
      </c>
      <c r="R635" s="4">
        <v>21.79</v>
      </c>
      <c r="S635" s="5">
        <f t="shared" si="28"/>
        <v>26.148</v>
      </c>
      <c r="T635" s="4">
        <v>26.15</v>
      </c>
      <c r="U635" s="5">
        <f t="shared" si="29"/>
        <v>31.379999999999995</v>
      </c>
      <c r="V635" s="1" t="s">
        <v>31</v>
      </c>
    </row>
    <row r="636" spans="1:22" x14ac:dyDescent="0.2">
      <c r="A636" s="1">
        <v>5752250</v>
      </c>
      <c r="B636" s="1" t="s">
        <v>3165</v>
      </c>
      <c r="C636" s="1" t="str">
        <f>"9788024642000"</f>
        <v>9788024642000</v>
      </c>
      <c r="D636" s="1" t="str">
        <f>"9788024642048"</f>
        <v>9788024642048</v>
      </c>
      <c r="E636" s="2" t="s">
        <v>3166</v>
      </c>
      <c r="F636" s="2" t="s">
        <v>3167</v>
      </c>
      <c r="G636" s="1" t="s">
        <v>24</v>
      </c>
      <c r="J636" s="1" t="s">
        <v>369</v>
      </c>
      <c r="K636" s="1" t="s">
        <v>3168</v>
      </c>
      <c r="L636" s="1" t="s">
        <v>3169</v>
      </c>
      <c r="M636" s="1" t="s">
        <v>3170</v>
      </c>
      <c r="N636" s="1" t="s">
        <v>3171</v>
      </c>
      <c r="O636" s="1" t="s">
        <v>39</v>
      </c>
      <c r="P636" s="4">
        <v>13.76</v>
      </c>
      <c r="Q636" s="5">
        <f t="shared" si="27"/>
        <v>16.512</v>
      </c>
      <c r="R636" s="4">
        <v>17.2</v>
      </c>
      <c r="S636" s="5">
        <f t="shared" si="28"/>
        <v>20.639999999999997</v>
      </c>
      <c r="T636" s="4">
        <v>20.64</v>
      </c>
      <c r="U636" s="5">
        <f t="shared" si="29"/>
        <v>24.768000000000001</v>
      </c>
      <c r="V636" s="1" t="s">
        <v>31</v>
      </c>
    </row>
    <row r="637" spans="1:22" x14ac:dyDescent="0.2">
      <c r="A637" s="1">
        <v>5752251</v>
      </c>
      <c r="B637" s="1" t="s">
        <v>3172</v>
      </c>
      <c r="C637" s="1" t="str">
        <f>"9788024642482"</f>
        <v>9788024642482</v>
      </c>
      <c r="D637" s="1" t="str">
        <f>"9788024642536"</f>
        <v>9788024642536</v>
      </c>
      <c r="E637" s="2" t="s">
        <v>3173</v>
      </c>
      <c r="F637" s="2" t="s">
        <v>3167</v>
      </c>
      <c r="G637" s="1" t="s">
        <v>24</v>
      </c>
      <c r="J637" s="1" t="s">
        <v>3174</v>
      </c>
      <c r="K637" s="1" t="s">
        <v>3175</v>
      </c>
      <c r="L637" s="1" t="s">
        <v>3176</v>
      </c>
      <c r="M637" s="1" t="s">
        <v>3177</v>
      </c>
      <c r="N637" s="1" t="s">
        <v>3178</v>
      </c>
      <c r="O637" s="1" t="s">
        <v>30</v>
      </c>
      <c r="P637" s="4">
        <v>16.510000000000002</v>
      </c>
      <c r="Q637" s="5">
        <f t="shared" si="27"/>
        <v>19.812000000000001</v>
      </c>
      <c r="R637" s="4">
        <v>20.64</v>
      </c>
      <c r="S637" s="5">
        <f t="shared" si="28"/>
        <v>24.768000000000001</v>
      </c>
      <c r="T637" s="4">
        <v>24.77</v>
      </c>
      <c r="U637" s="5">
        <f t="shared" si="29"/>
        <v>29.723999999999997</v>
      </c>
      <c r="V637" s="1" t="s">
        <v>31</v>
      </c>
    </row>
    <row r="638" spans="1:22" x14ac:dyDescent="0.2">
      <c r="A638" s="1">
        <v>5752252</v>
      </c>
      <c r="B638" s="1" t="s">
        <v>3179</v>
      </c>
      <c r="C638" s="1" t="str">
        <f>"9788024641805"</f>
        <v>9788024641805</v>
      </c>
      <c r="D638" s="1" t="str">
        <f>"9788024641898"</f>
        <v>9788024641898</v>
      </c>
      <c r="E638" s="2" t="s">
        <v>3098</v>
      </c>
      <c r="F638" s="2" t="s">
        <v>3167</v>
      </c>
      <c r="G638" s="1" t="s">
        <v>24</v>
      </c>
      <c r="J638" s="1" t="s">
        <v>3180</v>
      </c>
      <c r="K638" s="1" t="s">
        <v>43</v>
      </c>
      <c r="L638" s="1" t="s">
        <v>3181</v>
      </c>
      <c r="M638" s="1" t="s">
        <v>3182</v>
      </c>
      <c r="N638" s="1" t="s">
        <v>3183</v>
      </c>
      <c r="O638" s="1" t="s">
        <v>39</v>
      </c>
      <c r="P638" s="4">
        <v>13.76</v>
      </c>
      <c r="Q638" s="5">
        <f t="shared" si="27"/>
        <v>16.512</v>
      </c>
      <c r="R638" s="4">
        <v>17.2</v>
      </c>
      <c r="S638" s="5">
        <f t="shared" si="28"/>
        <v>20.639999999999997</v>
      </c>
      <c r="T638" s="4">
        <v>20.64</v>
      </c>
      <c r="U638" s="5">
        <f t="shared" si="29"/>
        <v>24.768000000000001</v>
      </c>
      <c r="V638" s="1" t="s">
        <v>31</v>
      </c>
    </row>
    <row r="639" spans="1:22" x14ac:dyDescent="0.2">
      <c r="A639" s="1">
        <v>5752253</v>
      </c>
      <c r="B639" s="1" t="s">
        <v>3184</v>
      </c>
      <c r="C639" s="1" t="str">
        <f>"9788024639918"</f>
        <v>9788024639918</v>
      </c>
      <c r="D639" s="1" t="str">
        <f>"9788024640457"</f>
        <v>9788024640457</v>
      </c>
      <c r="E639" s="2" t="s">
        <v>3166</v>
      </c>
      <c r="F639" s="2" t="s">
        <v>3167</v>
      </c>
      <c r="G639" s="1" t="s">
        <v>24</v>
      </c>
      <c r="J639" s="1" t="s">
        <v>1873</v>
      </c>
      <c r="K639" s="1" t="s">
        <v>412</v>
      </c>
      <c r="L639" s="1" t="s">
        <v>3185</v>
      </c>
      <c r="M639" s="1" t="s">
        <v>3186</v>
      </c>
      <c r="N639" s="1" t="s">
        <v>3187</v>
      </c>
      <c r="O639" s="1" t="s">
        <v>39</v>
      </c>
      <c r="P639" s="4">
        <v>14.68</v>
      </c>
      <c r="Q639" s="5">
        <f t="shared" si="27"/>
        <v>17.616</v>
      </c>
      <c r="R639" s="4">
        <v>18.350000000000001</v>
      </c>
      <c r="S639" s="5">
        <f t="shared" si="28"/>
        <v>22.02</v>
      </c>
      <c r="T639" s="4">
        <v>22.02</v>
      </c>
      <c r="U639" s="5">
        <f t="shared" si="29"/>
        <v>26.423999999999999</v>
      </c>
      <c r="V639" s="1" t="s">
        <v>31</v>
      </c>
    </row>
    <row r="640" spans="1:22" x14ac:dyDescent="0.2">
      <c r="A640" s="1">
        <v>5752254</v>
      </c>
      <c r="B640" s="1" t="s">
        <v>3188</v>
      </c>
      <c r="C640" s="1" t="str">
        <f>"9788024639888"</f>
        <v>9788024639888</v>
      </c>
      <c r="D640" s="1" t="str">
        <f>"9788024640464"</f>
        <v>9788024640464</v>
      </c>
      <c r="E640" s="2" t="s">
        <v>3173</v>
      </c>
      <c r="F640" s="2" t="s">
        <v>3167</v>
      </c>
      <c r="G640" s="1" t="s">
        <v>24</v>
      </c>
      <c r="J640" s="1" t="s">
        <v>276</v>
      </c>
      <c r="K640" s="1" t="s">
        <v>277</v>
      </c>
      <c r="L640" s="1" t="s">
        <v>3189</v>
      </c>
      <c r="M640" s="1" t="s">
        <v>3190</v>
      </c>
      <c r="N640" s="1" t="s">
        <v>3191</v>
      </c>
      <c r="O640" s="1" t="s">
        <v>281</v>
      </c>
      <c r="P640" s="4">
        <v>13.76</v>
      </c>
      <c r="Q640" s="5">
        <f t="shared" si="27"/>
        <v>16.512</v>
      </c>
      <c r="R640" s="4">
        <v>17.2</v>
      </c>
      <c r="S640" s="5">
        <f t="shared" si="28"/>
        <v>20.639999999999997</v>
      </c>
      <c r="T640" s="4">
        <v>20.64</v>
      </c>
      <c r="U640" s="5">
        <f t="shared" si="29"/>
        <v>24.768000000000001</v>
      </c>
      <c r="V640" s="1" t="s">
        <v>31</v>
      </c>
    </row>
    <row r="641" spans="1:22" x14ac:dyDescent="0.2">
      <c r="A641" s="1">
        <v>5752255</v>
      </c>
      <c r="B641" s="1" t="s">
        <v>3192</v>
      </c>
      <c r="C641" s="1" t="str">
        <f>"9788024638034"</f>
        <v>9788024638034</v>
      </c>
      <c r="D641" s="1" t="str">
        <f>"9788024638201"</f>
        <v>9788024638201</v>
      </c>
      <c r="E641" s="2" t="s">
        <v>3173</v>
      </c>
      <c r="F641" s="2" t="s">
        <v>3167</v>
      </c>
      <c r="G641" s="1" t="s">
        <v>24</v>
      </c>
      <c r="I641" s="1" t="s">
        <v>3193</v>
      </c>
      <c r="J641" s="1" t="s">
        <v>3194</v>
      </c>
      <c r="K641" s="1" t="s">
        <v>43</v>
      </c>
      <c r="L641" s="1" t="s">
        <v>3195</v>
      </c>
      <c r="M641" s="1" t="s">
        <v>2796</v>
      </c>
      <c r="N641" s="1" t="s">
        <v>3196</v>
      </c>
      <c r="O641" s="1" t="s">
        <v>39</v>
      </c>
      <c r="P641" s="4">
        <v>14.68</v>
      </c>
      <c r="Q641" s="5">
        <f t="shared" si="27"/>
        <v>17.616</v>
      </c>
      <c r="R641" s="4">
        <v>18.350000000000001</v>
      </c>
      <c r="S641" s="5">
        <f t="shared" si="28"/>
        <v>22.02</v>
      </c>
      <c r="T641" s="4">
        <v>22.02</v>
      </c>
      <c r="U641" s="5">
        <f t="shared" si="29"/>
        <v>26.423999999999999</v>
      </c>
      <c r="V641" s="1" t="s">
        <v>31</v>
      </c>
    </row>
    <row r="642" spans="1:22" x14ac:dyDescent="0.2">
      <c r="A642" s="1">
        <v>5752256</v>
      </c>
      <c r="B642" s="1" t="s">
        <v>3197</v>
      </c>
      <c r="C642" s="1" t="str">
        <f>"9788024638362"</f>
        <v>9788024638362</v>
      </c>
      <c r="D642" s="1" t="str">
        <f>"9788024639604"</f>
        <v>9788024639604</v>
      </c>
      <c r="E642" s="2" t="s">
        <v>2849</v>
      </c>
      <c r="F642" s="2" t="s">
        <v>3167</v>
      </c>
      <c r="G642" s="1" t="s">
        <v>24</v>
      </c>
      <c r="J642" s="1" t="s">
        <v>3198</v>
      </c>
      <c r="K642" s="1" t="s">
        <v>181</v>
      </c>
      <c r="L642" s="1" t="s">
        <v>3199</v>
      </c>
      <c r="M642" s="1" t="s">
        <v>2432</v>
      </c>
      <c r="N642" s="1" t="s">
        <v>3200</v>
      </c>
      <c r="O642" s="1" t="s">
        <v>39</v>
      </c>
      <c r="P642" s="4">
        <v>16.510000000000002</v>
      </c>
      <c r="Q642" s="5">
        <f t="shared" si="27"/>
        <v>19.812000000000001</v>
      </c>
      <c r="R642" s="4">
        <v>20.64</v>
      </c>
      <c r="S642" s="5">
        <f t="shared" si="28"/>
        <v>24.768000000000001</v>
      </c>
      <c r="T642" s="4">
        <v>24.77</v>
      </c>
      <c r="U642" s="5">
        <f t="shared" si="29"/>
        <v>29.723999999999997</v>
      </c>
      <c r="V642" s="1" t="s">
        <v>31</v>
      </c>
    </row>
    <row r="643" spans="1:22" x14ac:dyDescent="0.2">
      <c r="A643" s="1">
        <v>5752257</v>
      </c>
      <c r="B643" s="1" t="s">
        <v>3201</v>
      </c>
      <c r="C643" s="1" t="str">
        <f>"9788024638355"</f>
        <v>9788024638355</v>
      </c>
      <c r="D643" s="1" t="str">
        <f>"9788024639383"</f>
        <v>9788024639383</v>
      </c>
      <c r="E643" s="2" t="s">
        <v>2799</v>
      </c>
      <c r="F643" s="2" t="s">
        <v>3167</v>
      </c>
      <c r="G643" s="1" t="s">
        <v>24</v>
      </c>
      <c r="J643" s="1" t="s">
        <v>3202</v>
      </c>
      <c r="K643" s="1" t="s">
        <v>43</v>
      </c>
      <c r="L643" s="1" t="s">
        <v>3203</v>
      </c>
      <c r="M643" s="1" t="s">
        <v>3204</v>
      </c>
      <c r="N643" s="1" t="s">
        <v>3205</v>
      </c>
      <c r="O643" s="1" t="s">
        <v>39</v>
      </c>
      <c r="P643" s="4">
        <v>13.76</v>
      </c>
      <c r="Q643" s="5">
        <f t="shared" ref="Q643:Q686" si="30">P643*1.2</f>
        <v>16.512</v>
      </c>
      <c r="R643" s="4">
        <v>17.2</v>
      </c>
      <c r="S643" s="5">
        <f t="shared" ref="S643:S686" si="31">R643*1.2</f>
        <v>20.639999999999997</v>
      </c>
      <c r="T643" s="4">
        <v>20.64</v>
      </c>
      <c r="U643" s="5">
        <f t="shared" ref="U643:U686" si="32">T643*1.2</f>
        <v>24.768000000000001</v>
      </c>
      <c r="V643" s="1" t="s">
        <v>31</v>
      </c>
    </row>
    <row r="644" spans="1:22" x14ac:dyDescent="0.2">
      <c r="A644" s="1">
        <v>5752258</v>
      </c>
      <c r="B644" s="1" t="s">
        <v>3206</v>
      </c>
      <c r="C644" s="1" t="str">
        <f>"9788024638904"</f>
        <v>9788024638904</v>
      </c>
      <c r="D644" s="1" t="str">
        <f>"9788024640143"</f>
        <v>9788024640143</v>
      </c>
      <c r="E644" s="2" t="s">
        <v>2995</v>
      </c>
      <c r="F644" s="2" t="s">
        <v>3167</v>
      </c>
      <c r="G644" s="1" t="s">
        <v>24</v>
      </c>
      <c r="J644" s="1" t="s">
        <v>1404</v>
      </c>
      <c r="K644" s="1" t="s">
        <v>181</v>
      </c>
      <c r="L644" s="1" t="s">
        <v>3207</v>
      </c>
      <c r="M644" s="1" t="s">
        <v>1406</v>
      </c>
      <c r="N644" s="1" t="s">
        <v>3208</v>
      </c>
      <c r="O644" s="1" t="s">
        <v>39</v>
      </c>
      <c r="P644" s="4">
        <v>13.76</v>
      </c>
      <c r="Q644" s="5">
        <f t="shared" si="30"/>
        <v>16.512</v>
      </c>
      <c r="R644" s="4">
        <v>17.2</v>
      </c>
      <c r="S644" s="5">
        <f t="shared" si="31"/>
        <v>20.639999999999997</v>
      </c>
      <c r="T644" s="4">
        <v>20.64</v>
      </c>
      <c r="U644" s="5">
        <f t="shared" si="32"/>
        <v>24.768000000000001</v>
      </c>
      <c r="V644" s="1" t="s">
        <v>31</v>
      </c>
    </row>
    <row r="645" spans="1:22" x14ac:dyDescent="0.2">
      <c r="A645" s="1">
        <v>5752259</v>
      </c>
      <c r="B645" s="1" t="s">
        <v>3209</v>
      </c>
      <c r="C645" s="1" t="str">
        <f>"9788024641799"</f>
        <v>9788024641799</v>
      </c>
      <c r="D645" s="1" t="str">
        <f>"9788024641973"</f>
        <v>9788024641973</v>
      </c>
      <c r="E645" s="2" t="s">
        <v>3149</v>
      </c>
      <c r="F645" s="2" t="s">
        <v>3167</v>
      </c>
      <c r="G645" s="1" t="s">
        <v>24</v>
      </c>
      <c r="J645" s="1" t="s">
        <v>862</v>
      </c>
      <c r="K645" s="1" t="s">
        <v>809</v>
      </c>
      <c r="L645" s="1" t="s">
        <v>3210</v>
      </c>
      <c r="M645" s="1" t="s">
        <v>3211</v>
      </c>
      <c r="N645" s="1" t="s">
        <v>3212</v>
      </c>
      <c r="O645" s="1" t="s">
        <v>39</v>
      </c>
      <c r="P645" s="4">
        <v>13.76</v>
      </c>
      <c r="Q645" s="5">
        <f t="shared" si="30"/>
        <v>16.512</v>
      </c>
      <c r="R645" s="4">
        <v>17.2</v>
      </c>
      <c r="S645" s="5">
        <f t="shared" si="31"/>
        <v>20.639999999999997</v>
      </c>
      <c r="T645" s="4">
        <v>20.64</v>
      </c>
      <c r="U645" s="5">
        <f t="shared" si="32"/>
        <v>24.768000000000001</v>
      </c>
      <c r="V645" s="1" t="s">
        <v>31</v>
      </c>
    </row>
    <row r="646" spans="1:22" x14ac:dyDescent="0.2">
      <c r="A646" s="1">
        <v>5752260</v>
      </c>
      <c r="B646" s="1" t="s">
        <v>3213</v>
      </c>
      <c r="C646" s="1" t="str">
        <f>"9788024640563"</f>
        <v>9788024640563</v>
      </c>
      <c r="D646" s="1" t="str">
        <f>"9788024640600"</f>
        <v>9788024640600</v>
      </c>
      <c r="E646" s="2" t="s">
        <v>3149</v>
      </c>
      <c r="F646" s="2" t="s">
        <v>3167</v>
      </c>
      <c r="G646" s="1" t="s">
        <v>24</v>
      </c>
      <c r="I646" s="1" t="s">
        <v>3214</v>
      </c>
      <c r="J646" s="1" t="s">
        <v>3215</v>
      </c>
      <c r="K646" s="1" t="s">
        <v>341</v>
      </c>
      <c r="L646" s="1" t="s">
        <v>3216</v>
      </c>
      <c r="M646" s="1" t="s">
        <v>3217</v>
      </c>
      <c r="N646" s="1" t="s">
        <v>3218</v>
      </c>
      <c r="O646" s="1" t="s">
        <v>39</v>
      </c>
      <c r="P646" s="4">
        <v>16.510000000000002</v>
      </c>
      <c r="Q646" s="5">
        <f t="shared" si="30"/>
        <v>19.812000000000001</v>
      </c>
      <c r="R646" s="4">
        <v>20.64</v>
      </c>
      <c r="S646" s="5">
        <f t="shared" si="31"/>
        <v>24.768000000000001</v>
      </c>
      <c r="T646" s="4">
        <v>24.77</v>
      </c>
      <c r="U646" s="5">
        <f t="shared" si="32"/>
        <v>29.723999999999997</v>
      </c>
      <c r="V646" s="1" t="s">
        <v>31</v>
      </c>
    </row>
    <row r="647" spans="1:22" x14ac:dyDescent="0.2">
      <c r="A647" s="1">
        <v>5752261</v>
      </c>
      <c r="B647" s="1" t="s">
        <v>3219</v>
      </c>
      <c r="C647" s="1" t="str">
        <f>"9788024639765"</f>
        <v>9788024639765</v>
      </c>
      <c r="D647" s="1" t="str">
        <f>"9788024640006"</f>
        <v>9788024640006</v>
      </c>
      <c r="E647" s="2" t="s">
        <v>3030</v>
      </c>
      <c r="F647" s="2" t="s">
        <v>3167</v>
      </c>
      <c r="G647" s="1" t="s">
        <v>24</v>
      </c>
      <c r="J647" s="1" t="s">
        <v>3220</v>
      </c>
      <c r="K647" s="1" t="s">
        <v>72</v>
      </c>
      <c r="L647" s="1" t="s">
        <v>3221</v>
      </c>
      <c r="M647" s="1" t="s">
        <v>3222</v>
      </c>
      <c r="N647" s="1" t="s">
        <v>3223</v>
      </c>
      <c r="O647" s="1" t="s">
        <v>39</v>
      </c>
      <c r="P647" s="4">
        <v>18.350000000000001</v>
      </c>
      <c r="Q647" s="5">
        <f t="shared" si="30"/>
        <v>22.02</v>
      </c>
      <c r="R647" s="4">
        <v>22.94</v>
      </c>
      <c r="S647" s="5">
        <f t="shared" si="31"/>
        <v>27.528000000000002</v>
      </c>
      <c r="T647" s="4">
        <v>27.52</v>
      </c>
      <c r="U647" s="5">
        <f t="shared" si="32"/>
        <v>33.024000000000001</v>
      </c>
      <c r="V647" s="1" t="s">
        <v>31</v>
      </c>
    </row>
    <row r="648" spans="1:22" x14ac:dyDescent="0.2">
      <c r="A648" s="1">
        <v>5752262</v>
      </c>
      <c r="B648" s="1" t="s">
        <v>3224</v>
      </c>
      <c r="C648" s="1" t="str">
        <f>"9788024642857"</f>
        <v>9788024642857</v>
      </c>
      <c r="D648" s="1" t="str">
        <f>"9788024642970"</f>
        <v>9788024642970</v>
      </c>
      <c r="E648" s="2" t="s">
        <v>3173</v>
      </c>
      <c r="F648" s="2" t="s">
        <v>3167</v>
      </c>
      <c r="G648" s="1" t="s">
        <v>24</v>
      </c>
      <c r="J648" s="1" t="s">
        <v>213</v>
      </c>
      <c r="K648" s="1" t="s">
        <v>79</v>
      </c>
      <c r="L648" s="1" t="s">
        <v>3225</v>
      </c>
      <c r="M648" s="1" t="s">
        <v>296</v>
      </c>
      <c r="N648" s="1" t="s">
        <v>3226</v>
      </c>
      <c r="O648" s="1" t="s">
        <v>39</v>
      </c>
      <c r="P648" s="4">
        <v>13.76</v>
      </c>
      <c r="Q648" s="5">
        <f t="shared" si="30"/>
        <v>16.512</v>
      </c>
      <c r="R648" s="4">
        <v>17.2</v>
      </c>
      <c r="S648" s="5">
        <f t="shared" si="31"/>
        <v>20.639999999999997</v>
      </c>
      <c r="T648" s="4">
        <v>20.64</v>
      </c>
      <c r="U648" s="5">
        <f t="shared" si="32"/>
        <v>24.768000000000001</v>
      </c>
      <c r="V648" s="1" t="s">
        <v>31</v>
      </c>
    </row>
    <row r="649" spans="1:22" x14ac:dyDescent="0.2">
      <c r="A649" s="1">
        <v>5752263</v>
      </c>
      <c r="B649" s="1" t="s">
        <v>3227</v>
      </c>
      <c r="C649" s="1" t="str">
        <f>"9788024639185"</f>
        <v>9788024639185</v>
      </c>
      <c r="D649" s="1" t="str">
        <f>"9788024639840"</f>
        <v>9788024639840</v>
      </c>
      <c r="E649" s="2" t="s">
        <v>3173</v>
      </c>
      <c r="F649" s="2" t="s">
        <v>3167</v>
      </c>
      <c r="G649" s="1" t="s">
        <v>24</v>
      </c>
      <c r="J649" s="1" t="s">
        <v>3228</v>
      </c>
      <c r="K649" s="1" t="s">
        <v>260</v>
      </c>
      <c r="L649" s="1" t="s">
        <v>3229</v>
      </c>
      <c r="M649" s="1" t="s">
        <v>3230</v>
      </c>
      <c r="N649" s="1" t="s">
        <v>3231</v>
      </c>
      <c r="O649" s="1" t="s">
        <v>30</v>
      </c>
      <c r="P649" s="4">
        <v>13.76</v>
      </c>
      <c r="Q649" s="5">
        <f t="shared" si="30"/>
        <v>16.512</v>
      </c>
      <c r="R649" s="4">
        <v>17.2</v>
      </c>
      <c r="S649" s="5">
        <f t="shared" si="31"/>
        <v>20.639999999999997</v>
      </c>
      <c r="T649" s="4">
        <v>20.64</v>
      </c>
      <c r="U649" s="5">
        <f t="shared" si="32"/>
        <v>24.768000000000001</v>
      </c>
      <c r="V649" s="1" t="s">
        <v>31</v>
      </c>
    </row>
    <row r="650" spans="1:22" x14ac:dyDescent="0.2">
      <c r="A650" s="1">
        <v>5752264</v>
      </c>
      <c r="B650" s="1" t="s">
        <v>3232</v>
      </c>
      <c r="C650" s="1" t="str">
        <f>"9788024642369"</f>
        <v>9788024642369</v>
      </c>
      <c r="D650" s="1" t="str">
        <f>"9788024642437"</f>
        <v>9788024642437</v>
      </c>
      <c r="E650" s="2" t="s">
        <v>3166</v>
      </c>
      <c r="F650" s="2" t="s">
        <v>3167</v>
      </c>
      <c r="G650" s="1" t="s">
        <v>24</v>
      </c>
      <c r="J650" s="1" t="s">
        <v>3233</v>
      </c>
      <c r="K650" s="1" t="s">
        <v>334</v>
      </c>
      <c r="L650" s="1" t="s">
        <v>3234</v>
      </c>
      <c r="M650" s="1" t="s">
        <v>3235</v>
      </c>
      <c r="N650" s="1" t="s">
        <v>3236</v>
      </c>
      <c r="O650" s="1" t="s">
        <v>39</v>
      </c>
      <c r="P650" s="4">
        <v>13.76</v>
      </c>
      <c r="Q650" s="5">
        <f t="shared" si="30"/>
        <v>16.512</v>
      </c>
      <c r="R650" s="4">
        <v>17.2</v>
      </c>
      <c r="S650" s="5">
        <f t="shared" si="31"/>
        <v>20.639999999999997</v>
      </c>
      <c r="T650" s="4">
        <v>20.64</v>
      </c>
      <c r="U650" s="5">
        <f t="shared" si="32"/>
        <v>24.768000000000001</v>
      </c>
      <c r="V650" s="1" t="s">
        <v>31</v>
      </c>
    </row>
    <row r="651" spans="1:22" x14ac:dyDescent="0.2">
      <c r="A651" s="1">
        <v>5752265</v>
      </c>
      <c r="B651" s="1" t="s">
        <v>3237</v>
      </c>
      <c r="C651" s="1" t="str">
        <f>"9788024632285"</f>
        <v>9788024632285</v>
      </c>
      <c r="D651" s="1" t="str">
        <f>"9788024632612"</f>
        <v>9788024632612</v>
      </c>
      <c r="E651" s="2" t="s">
        <v>3149</v>
      </c>
      <c r="F651" s="2" t="s">
        <v>3167</v>
      </c>
      <c r="G651" s="1" t="s">
        <v>24</v>
      </c>
      <c r="J651" s="1" t="s">
        <v>3238</v>
      </c>
      <c r="K651" s="1" t="s">
        <v>242</v>
      </c>
      <c r="L651" s="1" t="s">
        <v>3239</v>
      </c>
      <c r="M651" s="1" t="s">
        <v>3240</v>
      </c>
      <c r="N651" s="1" t="s">
        <v>3241</v>
      </c>
      <c r="O651" s="1" t="s">
        <v>39</v>
      </c>
      <c r="P651" s="4">
        <v>14.68</v>
      </c>
      <c r="Q651" s="5">
        <f t="shared" si="30"/>
        <v>17.616</v>
      </c>
      <c r="R651" s="4">
        <v>18.350000000000001</v>
      </c>
      <c r="S651" s="5">
        <f t="shared" si="31"/>
        <v>22.02</v>
      </c>
      <c r="T651" s="4">
        <v>22.02</v>
      </c>
      <c r="U651" s="5">
        <f t="shared" si="32"/>
        <v>26.423999999999999</v>
      </c>
      <c r="V651" s="1" t="s">
        <v>31</v>
      </c>
    </row>
    <row r="652" spans="1:22" x14ac:dyDescent="0.2">
      <c r="A652" s="1">
        <v>5752266</v>
      </c>
      <c r="B652" s="1" t="s">
        <v>3242</v>
      </c>
      <c r="C652" s="1" t="str">
        <f>"9788024641478"</f>
        <v>9788024641478</v>
      </c>
      <c r="D652" s="1" t="str">
        <f>"9788024642086"</f>
        <v>9788024642086</v>
      </c>
      <c r="E652" s="2" t="s">
        <v>3173</v>
      </c>
      <c r="F652" s="2" t="s">
        <v>3167</v>
      </c>
      <c r="G652" s="1" t="s">
        <v>24</v>
      </c>
      <c r="J652" s="1" t="s">
        <v>3243</v>
      </c>
      <c r="K652" s="1" t="s">
        <v>1080</v>
      </c>
      <c r="L652" s="1" t="s">
        <v>3244</v>
      </c>
      <c r="M652" s="1" t="s">
        <v>3245</v>
      </c>
      <c r="N652" s="1" t="s">
        <v>3246</v>
      </c>
      <c r="O652" s="1" t="s">
        <v>39</v>
      </c>
      <c r="P652" s="4">
        <v>13.76</v>
      </c>
      <c r="Q652" s="5">
        <f t="shared" si="30"/>
        <v>16.512</v>
      </c>
      <c r="R652" s="4">
        <v>17.2</v>
      </c>
      <c r="S652" s="5">
        <f t="shared" si="31"/>
        <v>20.639999999999997</v>
      </c>
      <c r="T652" s="4">
        <v>20.64</v>
      </c>
      <c r="U652" s="5">
        <f t="shared" si="32"/>
        <v>24.768000000000001</v>
      </c>
      <c r="V652" s="1" t="s">
        <v>31</v>
      </c>
    </row>
    <row r="653" spans="1:22" x14ac:dyDescent="0.2">
      <c r="A653" s="1">
        <v>5752267</v>
      </c>
      <c r="B653" s="1" t="s">
        <v>3247</v>
      </c>
      <c r="C653" s="1" t="str">
        <f>"9788024638348"</f>
        <v>9788024638348</v>
      </c>
      <c r="D653" s="1" t="str">
        <f>"9788024638607"</f>
        <v>9788024638607</v>
      </c>
      <c r="E653" s="2" t="s">
        <v>3173</v>
      </c>
      <c r="F653" s="2" t="s">
        <v>3167</v>
      </c>
      <c r="G653" s="1" t="s">
        <v>24</v>
      </c>
      <c r="J653" s="1" t="s">
        <v>3248</v>
      </c>
      <c r="K653" s="1" t="s">
        <v>248</v>
      </c>
      <c r="L653" s="1" t="s">
        <v>3249</v>
      </c>
      <c r="M653" s="1" t="s">
        <v>3250</v>
      </c>
      <c r="N653" s="1" t="s">
        <v>3251</v>
      </c>
      <c r="O653" s="1" t="s">
        <v>39</v>
      </c>
      <c r="P653" s="4">
        <v>13.76</v>
      </c>
      <c r="Q653" s="5">
        <f t="shared" si="30"/>
        <v>16.512</v>
      </c>
      <c r="R653" s="4">
        <v>17.2</v>
      </c>
      <c r="S653" s="5">
        <f t="shared" si="31"/>
        <v>20.639999999999997</v>
      </c>
      <c r="T653" s="4">
        <v>20.64</v>
      </c>
      <c r="U653" s="5">
        <f t="shared" si="32"/>
        <v>24.768000000000001</v>
      </c>
      <c r="V653" s="1" t="s">
        <v>31</v>
      </c>
    </row>
    <row r="654" spans="1:22" x14ac:dyDescent="0.2">
      <c r="A654" s="1">
        <v>5752268</v>
      </c>
      <c r="B654" s="1" t="s">
        <v>3252</v>
      </c>
      <c r="C654" s="1" t="str">
        <f>"9788024638973"</f>
        <v>9788024638973</v>
      </c>
      <c r="D654" s="1" t="str">
        <f>"9788024639208"</f>
        <v>9788024639208</v>
      </c>
      <c r="E654" s="2" t="s">
        <v>3173</v>
      </c>
      <c r="F654" s="2" t="s">
        <v>3167</v>
      </c>
      <c r="G654" s="1" t="s">
        <v>24</v>
      </c>
      <c r="J654" s="1" t="s">
        <v>3253</v>
      </c>
      <c r="K654" s="1" t="s">
        <v>277</v>
      </c>
      <c r="L654" s="1" t="s">
        <v>3254</v>
      </c>
      <c r="M654" s="1" t="s">
        <v>3255</v>
      </c>
      <c r="N654" s="1" t="s">
        <v>3256</v>
      </c>
      <c r="O654" s="1" t="s">
        <v>39</v>
      </c>
      <c r="P654" s="4">
        <v>21.1</v>
      </c>
      <c r="Q654" s="5">
        <f t="shared" si="30"/>
        <v>25.32</v>
      </c>
      <c r="R654" s="4">
        <v>26.38</v>
      </c>
      <c r="S654" s="5">
        <f t="shared" si="31"/>
        <v>31.655999999999999</v>
      </c>
      <c r="T654" s="4">
        <v>31.65</v>
      </c>
      <c r="U654" s="5">
        <f t="shared" si="32"/>
        <v>37.979999999999997</v>
      </c>
      <c r="V654" s="1" t="s">
        <v>31</v>
      </c>
    </row>
    <row r="655" spans="1:22" x14ac:dyDescent="0.2">
      <c r="A655" s="1">
        <v>5752269</v>
      </c>
      <c r="B655" s="1" t="s">
        <v>3257</v>
      </c>
      <c r="C655" s="1" t="str">
        <f>"9788024642772"</f>
        <v>9788024642772</v>
      </c>
      <c r="D655" s="1" t="str">
        <f>"9788024642987"</f>
        <v>9788024642987</v>
      </c>
      <c r="E655" s="2" t="s">
        <v>3173</v>
      </c>
      <c r="F655" s="2" t="s">
        <v>3167</v>
      </c>
      <c r="G655" s="1" t="s">
        <v>24</v>
      </c>
      <c r="J655" s="1" t="s">
        <v>3258</v>
      </c>
      <c r="K655" s="1" t="s">
        <v>79</v>
      </c>
      <c r="O655" s="1" t="s">
        <v>3259</v>
      </c>
      <c r="P655" s="4">
        <v>13.76</v>
      </c>
      <c r="Q655" s="5">
        <f t="shared" si="30"/>
        <v>16.512</v>
      </c>
      <c r="R655" s="4">
        <v>17.2</v>
      </c>
      <c r="S655" s="5">
        <f t="shared" si="31"/>
        <v>20.639999999999997</v>
      </c>
      <c r="T655" s="4">
        <v>20.64</v>
      </c>
      <c r="U655" s="5">
        <f t="shared" si="32"/>
        <v>24.768000000000001</v>
      </c>
      <c r="V655" s="1" t="s">
        <v>32</v>
      </c>
    </row>
    <row r="656" spans="1:22" x14ac:dyDescent="0.2">
      <c r="A656" s="1">
        <v>5752270</v>
      </c>
      <c r="B656" s="1" t="s">
        <v>3260</v>
      </c>
      <c r="C656" s="1" t="str">
        <f>"9788024640365"</f>
        <v>9788024640365</v>
      </c>
      <c r="D656" s="1" t="str">
        <f>"9788024641003"</f>
        <v>9788024641003</v>
      </c>
      <c r="E656" s="2" t="s">
        <v>3173</v>
      </c>
      <c r="F656" s="2" t="s">
        <v>3167</v>
      </c>
      <c r="G656" s="1" t="s">
        <v>24</v>
      </c>
      <c r="J656" s="1" t="s">
        <v>3261</v>
      </c>
      <c r="K656" s="1" t="s">
        <v>124</v>
      </c>
      <c r="L656" s="1" t="s">
        <v>3262</v>
      </c>
      <c r="M656" s="1" t="s">
        <v>3263</v>
      </c>
      <c r="N656" s="1" t="s">
        <v>3264</v>
      </c>
      <c r="O656" s="1" t="s">
        <v>39</v>
      </c>
      <c r="P656" s="4">
        <v>13.76</v>
      </c>
      <c r="Q656" s="5">
        <f t="shared" si="30"/>
        <v>16.512</v>
      </c>
      <c r="R656" s="4">
        <v>17.2</v>
      </c>
      <c r="S656" s="5">
        <f t="shared" si="31"/>
        <v>20.639999999999997</v>
      </c>
      <c r="T656" s="4">
        <v>20.64</v>
      </c>
      <c r="U656" s="5">
        <f t="shared" si="32"/>
        <v>24.768000000000001</v>
      </c>
      <c r="V656" s="1" t="s">
        <v>31</v>
      </c>
    </row>
    <row r="657" spans="1:22" x14ac:dyDescent="0.2">
      <c r="A657" s="1">
        <v>5752271</v>
      </c>
      <c r="B657" s="1" t="s">
        <v>464</v>
      </c>
      <c r="C657" s="1" t="str">
        <f>"9788024635637"</f>
        <v>9788024635637</v>
      </c>
      <c r="D657" s="1" t="str">
        <f>"9788024636207"</f>
        <v>9788024636207</v>
      </c>
      <c r="E657" s="2" t="s">
        <v>3098</v>
      </c>
      <c r="F657" s="2" t="s">
        <v>3167</v>
      </c>
      <c r="G657" s="1" t="s">
        <v>24</v>
      </c>
      <c r="H657" s="1">
        <v>2</v>
      </c>
      <c r="J657" s="1" t="s">
        <v>466</v>
      </c>
      <c r="K657" s="1" t="s">
        <v>124</v>
      </c>
      <c r="L657" s="1" t="s">
        <v>3265</v>
      </c>
      <c r="M657" s="1" t="s">
        <v>126</v>
      </c>
      <c r="N657" s="1" t="s">
        <v>3266</v>
      </c>
      <c r="O657" s="1" t="s">
        <v>39</v>
      </c>
      <c r="P657" s="4">
        <v>13.76</v>
      </c>
      <c r="Q657" s="5">
        <f t="shared" si="30"/>
        <v>16.512</v>
      </c>
      <c r="R657" s="4">
        <v>17.2</v>
      </c>
      <c r="S657" s="5">
        <f t="shared" si="31"/>
        <v>20.639999999999997</v>
      </c>
      <c r="T657" s="4">
        <v>20.64</v>
      </c>
      <c r="U657" s="5">
        <f t="shared" si="32"/>
        <v>24.768000000000001</v>
      </c>
      <c r="V657" s="1" t="s">
        <v>31</v>
      </c>
    </row>
    <row r="658" spans="1:22" x14ac:dyDescent="0.2">
      <c r="A658" s="1">
        <v>5752272</v>
      </c>
      <c r="B658" s="1" t="s">
        <v>3267</v>
      </c>
      <c r="C658" s="1" t="str">
        <f>"9788024640556"</f>
        <v>9788024640556</v>
      </c>
      <c r="D658" s="1" t="str">
        <f>"9788024642659"</f>
        <v>9788024642659</v>
      </c>
      <c r="E658" s="2" t="s">
        <v>3173</v>
      </c>
      <c r="F658" s="2" t="s">
        <v>3167</v>
      </c>
      <c r="G658" s="1" t="s">
        <v>24</v>
      </c>
      <c r="I658" s="1" t="s">
        <v>3268</v>
      </c>
      <c r="J658" s="1" t="s">
        <v>3269</v>
      </c>
      <c r="K658" s="1" t="s">
        <v>3270</v>
      </c>
      <c r="L658" s="1" t="s">
        <v>3271</v>
      </c>
      <c r="M658" s="1" t="s">
        <v>3272</v>
      </c>
      <c r="N658" s="1" t="s">
        <v>3273</v>
      </c>
      <c r="O658" s="1" t="s">
        <v>39</v>
      </c>
      <c r="P658" s="4">
        <v>22.94</v>
      </c>
      <c r="Q658" s="5">
        <f t="shared" si="30"/>
        <v>27.528000000000002</v>
      </c>
      <c r="R658" s="4">
        <v>28.67</v>
      </c>
      <c r="S658" s="5">
        <f t="shared" si="31"/>
        <v>34.404000000000003</v>
      </c>
      <c r="T658" s="4">
        <v>34.4</v>
      </c>
      <c r="U658" s="5">
        <f t="shared" si="32"/>
        <v>41.279999999999994</v>
      </c>
      <c r="V658" s="1" t="s">
        <v>31</v>
      </c>
    </row>
    <row r="659" spans="1:22" x14ac:dyDescent="0.2">
      <c r="A659" s="1">
        <v>5752273</v>
      </c>
      <c r="B659" s="1" t="s">
        <v>3274</v>
      </c>
      <c r="C659" s="1" t="str">
        <f>"9788024641812"</f>
        <v>9788024641812</v>
      </c>
      <c r="D659" s="1" t="str">
        <f>"9788024641980"</f>
        <v>9788024641980</v>
      </c>
      <c r="E659" s="2" t="s">
        <v>3149</v>
      </c>
      <c r="F659" s="2" t="s">
        <v>3167</v>
      </c>
      <c r="G659" s="1" t="s">
        <v>24</v>
      </c>
      <c r="H659" s="1">
        <v>2</v>
      </c>
      <c r="J659" s="1" t="s">
        <v>862</v>
      </c>
      <c r="K659" s="1" t="s">
        <v>863</v>
      </c>
      <c r="L659" s="1" t="s">
        <v>3275</v>
      </c>
      <c r="M659" s="1" t="s">
        <v>3211</v>
      </c>
      <c r="N659" s="1" t="s">
        <v>3276</v>
      </c>
      <c r="O659" s="1" t="s">
        <v>30</v>
      </c>
      <c r="P659" s="4">
        <v>13.76</v>
      </c>
      <c r="Q659" s="5">
        <f t="shared" si="30"/>
        <v>16.512</v>
      </c>
      <c r="R659" s="4">
        <v>17.2</v>
      </c>
      <c r="S659" s="5">
        <f t="shared" si="31"/>
        <v>20.639999999999997</v>
      </c>
      <c r="T659" s="4">
        <v>20.64</v>
      </c>
      <c r="U659" s="5">
        <f t="shared" si="32"/>
        <v>24.768000000000001</v>
      </c>
      <c r="V659" s="1" t="s">
        <v>31</v>
      </c>
    </row>
    <row r="660" spans="1:22" x14ac:dyDescent="0.2">
      <c r="A660" s="1">
        <v>5752274</v>
      </c>
      <c r="B660" s="1" t="s">
        <v>3277</v>
      </c>
      <c r="C660" s="1" t="str">
        <f>"9788024642499"</f>
        <v>9788024642499</v>
      </c>
      <c r="D660" s="1" t="str">
        <f>"9788024642543"</f>
        <v>9788024642543</v>
      </c>
      <c r="E660" s="2" t="s">
        <v>3166</v>
      </c>
      <c r="F660" s="2" t="s">
        <v>3167</v>
      </c>
      <c r="G660" s="1" t="s">
        <v>24</v>
      </c>
      <c r="J660" s="1" t="s">
        <v>3278</v>
      </c>
      <c r="K660" s="1" t="s">
        <v>248</v>
      </c>
      <c r="L660" s="1" t="s">
        <v>3279</v>
      </c>
      <c r="M660" s="1" t="s">
        <v>3280</v>
      </c>
      <c r="N660" s="1" t="s">
        <v>3281</v>
      </c>
      <c r="O660" s="1" t="s">
        <v>39</v>
      </c>
      <c r="P660" s="4">
        <v>13.76</v>
      </c>
      <c r="Q660" s="5">
        <f t="shared" si="30"/>
        <v>16.512</v>
      </c>
      <c r="R660" s="4">
        <v>17.2</v>
      </c>
      <c r="S660" s="5">
        <f t="shared" si="31"/>
        <v>20.639999999999997</v>
      </c>
      <c r="T660" s="4">
        <v>20.64</v>
      </c>
      <c r="U660" s="5">
        <f t="shared" si="32"/>
        <v>24.768000000000001</v>
      </c>
      <c r="V660" s="1" t="s">
        <v>31</v>
      </c>
    </row>
    <row r="661" spans="1:22" x14ac:dyDescent="0.2">
      <c r="A661" s="1">
        <v>5752275</v>
      </c>
      <c r="B661" s="1" t="s">
        <v>3282</v>
      </c>
      <c r="C661" s="1" t="str">
        <f>"9788024640174"</f>
        <v>9788024640174</v>
      </c>
      <c r="D661" s="1" t="str">
        <f>"9788024640181"</f>
        <v>9788024640181</v>
      </c>
      <c r="E661" s="2" t="s">
        <v>3166</v>
      </c>
      <c r="F661" s="2" t="s">
        <v>3167</v>
      </c>
      <c r="G661" s="1" t="s">
        <v>24</v>
      </c>
      <c r="I661" s="1" t="s">
        <v>3283</v>
      </c>
      <c r="J661" s="1" t="s">
        <v>1788</v>
      </c>
      <c r="K661" s="1" t="s">
        <v>111</v>
      </c>
      <c r="L661" s="1" t="s">
        <v>3284</v>
      </c>
      <c r="M661" s="1" t="s">
        <v>1170</v>
      </c>
      <c r="N661" s="1" t="s">
        <v>3285</v>
      </c>
      <c r="O661" s="1" t="s">
        <v>30</v>
      </c>
      <c r="P661" s="4">
        <v>23.85</v>
      </c>
      <c r="Q661" s="5">
        <f t="shared" si="30"/>
        <v>28.62</v>
      </c>
      <c r="R661" s="4">
        <v>29.82</v>
      </c>
      <c r="S661" s="5">
        <f t="shared" si="31"/>
        <v>35.783999999999999</v>
      </c>
      <c r="T661" s="4">
        <v>35.78</v>
      </c>
      <c r="U661" s="5">
        <f t="shared" si="32"/>
        <v>42.936</v>
      </c>
      <c r="V661" s="1" t="s">
        <v>31</v>
      </c>
    </row>
    <row r="662" spans="1:22" x14ac:dyDescent="0.2">
      <c r="A662" s="1">
        <v>5752276</v>
      </c>
      <c r="B662" s="1" t="s">
        <v>3286</v>
      </c>
      <c r="C662" s="1" t="str">
        <f>"9788024643007"</f>
        <v>9788024643007</v>
      </c>
      <c r="D662" s="1" t="str">
        <f>"9788024643168"</f>
        <v>9788024643168</v>
      </c>
      <c r="E662" s="2" t="s">
        <v>3166</v>
      </c>
      <c r="F662" s="2" t="s">
        <v>3167</v>
      </c>
      <c r="G662" s="1" t="s">
        <v>24</v>
      </c>
      <c r="J662" s="1" t="s">
        <v>3287</v>
      </c>
      <c r="K662" s="1" t="s">
        <v>43</v>
      </c>
      <c r="L662" s="1" t="s">
        <v>3288</v>
      </c>
      <c r="M662" s="1" t="s">
        <v>3289</v>
      </c>
      <c r="N662" s="1" t="s">
        <v>3290</v>
      </c>
      <c r="O662" s="1" t="s">
        <v>39</v>
      </c>
      <c r="P662" s="4">
        <v>13.76</v>
      </c>
      <c r="Q662" s="5">
        <f t="shared" si="30"/>
        <v>16.512</v>
      </c>
      <c r="R662" s="4">
        <v>17.2</v>
      </c>
      <c r="S662" s="5">
        <f t="shared" si="31"/>
        <v>20.639999999999997</v>
      </c>
      <c r="T662" s="4">
        <v>20.64</v>
      </c>
      <c r="U662" s="5">
        <f t="shared" si="32"/>
        <v>24.768000000000001</v>
      </c>
      <c r="V662" s="1" t="s">
        <v>31</v>
      </c>
    </row>
    <row r="663" spans="1:22" x14ac:dyDescent="0.2">
      <c r="A663" s="1">
        <v>5778822</v>
      </c>
      <c r="B663" s="1" t="s">
        <v>3291</v>
      </c>
      <c r="C663" s="1" t="str">
        <f>"9788024642826"</f>
        <v>9788024642826</v>
      </c>
      <c r="D663" s="1" t="str">
        <f>"9788024643175"</f>
        <v>9788024643175</v>
      </c>
      <c r="E663" s="2" t="s">
        <v>3292</v>
      </c>
      <c r="F663" s="2" t="s">
        <v>3293</v>
      </c>
      <c r="G663" s="1" t="s">
        <v>24</v>
      </c>
      <c r="I663" s="1" t="s">
        <v>3294</v>
      </c>
      <c r="J663" s="1" t="s">
        <v>3295</v>
      </c>
      <c r="K663" s="1" t="s">
        <v>79</v>
      </c>
      <c r="L663" s="1" t="s">
        <v>3296</v>
      </c>
      <c r="M663" s="1" t="s">
        <v>3297</v>
      </c>
      <c r="N663" s="1" t="s">
        <v>3298</v>
      </c>
      <c r="O663" s="1" t="s">
        <v>30</v>
      </c>
      <c r="P663" s="4">
        <v>13.76</v>
      </c>
      <c r="Q663" s="5">
        <f t="shared" si="30"/>
        <v>16.512</v>
      </c>
      <c r="R663" s="4">
        <v>17.2</v>
      </c>
      <c r="S663" s="5">
        <f t="shared" si="31"/>
        <v>20.639999999999997</v>
      </c>
      <c r="T663" s="4">
        <v>20.64</v>
      </c>
      <c r="U663" s="5">
        <f t="shared" si="32"/>
        <v>24.768000000000001</v>
      </c>
      <c r="V663" s="1" t="s">
        <v>31</v>
      </c>
    </row>
    <row r="664" spans="1:22" x14ac:dyDescent="0.2">
      <c r="A664" s="1">
        <v>5778823</v>
      </c>
      <c r="B664" s="1" t="s">
        <v>3299</v>
      </c>
      <c r="C664" s="1" t="str">
        <f>"9788024642802"</f>
        <v>9788024642802</v>
      </c>
      <c r="D664" s="1" t="str">
        <f>"9788024643083"</f>
        <v>9788024643083</v>
      </c>
      <c r="E664" s="2" t="s">
        <v>3292</v>
      </c>
      <c r="F664" s="2" t="s">
        <v>3293</v>
      </c>
      <c r="G664" s="1" t="s">
        <v>24</v>
      </c>
      <c r="J664" s="1" t="s">
        <v>3300</v>
      </c>
      <c r="K664" s="1" t="s">
        <v>696</v>
      </c>
      <c r="L664" s="1" t="s">
        <v>3301</v>
      </c>
      <c r="M664" s="1" t="s">
        <v>3302</v>
      </c>
      <c r="N664" s="1" t="s">
        <v>3303</v>
      </c>
      <c r="O664" s="1" t="s">
        <v>39</v>
      </c>
      <c r="P664" s="4">
        <v>13.76</v>
      </c>
      <c r="Q664" s="5">
        <f t="shared" si="30"/>
        <v>16.512</v>
      </c>
      <c r="R664" s="4">
        <v>17.2</v>
      </c>
      <c r="S664" s="5">
        <f t="shared" si="31"/>
        <v>20.639999999999997</v>
      </c>
      <c r="T664" s="4">
        <v>20.64</v>
      </c>
      <c r="U664" s="5">
        <f t="shared" si="32"/>
        <v>24.768000000000001</v>
      </c>
      <c r="V664" s="1" t="s">
        <v>31</v>
      </c>
    </row>
    <row r="665" spans="1:22" x14ac:dyDescent="0.2">
      <c r="A665" s="1">
        <v>5778824</v>
      </c>
      <c r="B665" s="1" t="s">
        <v>3304</v>
      </c>
      <c r="C665" s="1" t="str">
        <f>"9788024633374"</f>
        <v>9788024633374</v>
      </c>
      <c r="D665" s="1" t="str">
        <f>"9788024633466"</f>
        <v>9788024633466</v>
      </c>
      <c r="E665" s="2" t="s">
        <v>3292</v>
      </c>
      <c r="F665" s="2" t="s">
        <v>3293</v>
      </c>
      <c r="G665" s="1" t="s">
        <v>24</v>
      </c>
      <c r="I665" s="1" t="s">
        <v>3305</v>
      </c>
      <c r="J665" s="1" t="s">
        <v>3306</v>
      </c>
      <c r="K665" s="1" t="s">
        <v>43</v>
      </c>
      <c r="L665" s="1" t="s">
        <v>3307</v>
      </c>
      <c r="M665" s="1" t="s">
        <v>2568</v>
      </c>
      <c r="N665" s="1" t="s">
        <v>3308</v>
      </c>
      <c r="O665" s="1" t="s">
        <v>39</v>
      </c>
      <c r="P665" s="4">
        <v>19.27</v>
      </c>
      <c r="Q665" s="5">
        <f t="shared" si="30"/>
        <v>23.123999999999999</v>
      </c>
      <c r="R665" s="4">
        <v>24.08</v>
      </c>
      <c r="S665" s="5">
        <f t="shared" si="31"/>
        <v>28.895999999999997</v>
      </c>
      <c r="T665" s="4">
        <v>28.9</v>
      </c>
      <c r="U665" s="5">
        <f t="shared" si="32"/>
        <v>34.68</v>
      </c>
      <c r="V665" s="1" t="s">
        <v>31</v>
      </c>
    </row>
    <row r="666" spans="1:22" x14ac:dyDescent="0.2">
      <c r="A666" s="1">
        <v>5778825</v>
      </c>
      <c r="B666" s="1" t="s">
        <v>3309</v>
      </c>
      <c r="C666" s="1" t="str">
        <f>"9788024637006"</f>
        <v>9788024637006</v>
      </c>
      <c r="D666" s="1" t="str">
        <f>"9788024637211"</f>
        <v>9788024637211</v>
      </c>
      <c r="E666" s="2" t="s">
        <v>3310</v>
      </c>
      <c r="F666" s="2" t="s">
        <v>3293</v>
      </c>
      <c r="G666" s="1" t="s">
        <v>24</v>
      </c>
      <c r="I666" s="1" t="s">
        <v>3311</v>
      </c>
      <c r="J666" s="1" t="s">
        <v>3312</v>
      </c>
      <c r="K666" s="1" t="s">
        <v>43</v>
      </c>
      <c r="L666" s="1" t="s">
        <v>3313</v>
      </c>
      <c r="M666" s="1" t="s">
        <v>3314</v>
      </c>
      <c r="N666" s="1" t="s">
        <v>3315</v>
      </c>
      <c r="O666" s="1" t="s">
        <v>30</v>
      </c>
      <c r="P666" s="4">
        <v>13.76</v>
      </c>
      <c r="Q666" s="5">
        <f t="shared" si="30"/>
        <v>16.512</v>
      </c>
      <c r="R666" s="4">
        <v>17.2</v>
      </c>
      <c r="S666" s="5">
        <f t="shared" si="31"/>
        <v>20.639999999999997</v>
      </c>
      <c r="T666" s="4">
        <v>20.64</v>
      </c>
      <c r="U666" s="5">
        <f t="shared" si="32"/>
        <v>24.768000000000001</v>
      </c>
      <c r="V666" s="1" t="s">
        <v>31</v>
      </c>
    </row>
    <row r="667" spans="1:22" x14ac:dyDescent="0.2">
      <c r="A667" s="1">
        <v>5778826</v>
      </c>
      <c r="B667" s="1" t="s">
        <v>3316</v>
      </c>
      <c r="C667" s="1" t="str">
        <f>"9788024642352"</f>
        <v>9788024642352</v>
      </c>
      <c r="D667" s="1" t="str">
        <f>"9788024642420"</f>
        <v>9788024642420</v>
      </c>
      <c r="E667" s="2" t="s">
        <v>3166</v>
      </c>
      <c r="F667" s="2" t="s">
        <v>3293</v>
      </c>
      <c r="G667" s="1" t="s">
        <v>24</v>
      </c>
      <c r="J667" s="1" t="s">
        <v>3317</v>
      </c>
      <c r="K667" s="1" t="s">
        <v>50</v>
      </c>
      <c r="L667" s="1" t="s">
        <v>3318</v>
      </c>
      <c r="M667" s="1" t="s">
        <v>3319</v>
      </c>
      <c r="N667" s="1" t="s">
        <v>3320</v>
      </c>
      <c r="O667" s="1" t="s">
        <v>39</v>
      </c>
      <c r="P667" s="4">
        <v>13.76</v>
      </c>
      <c r="Q667" s="5">
        <f t="shared" si="30"/>
        <v>16.512</v>
      </c>
      <c r="R667" s="4">
        <v>17.2</v>
      </c>
      <c r="S667" s="5">
        <f t="shared" si="31"/>
        <v>20.639999999999997</v>
      </c>
      <c r="T667" s="4">
        <v>20.64</v>
      </c>
      <c r="U667" s="5">
        <f t="shared" si="32"/>
        <v>24.768000000000001</v>
      </c>
      <c r="V667" s="1" t="s">
        <v>31</v>
      </c>
    </row>
    <row r="668" spans="1:22" x14ac:dyDescent="0.2">
      <c r="A668" s="1">
        <v>5797719</v>
      </c>
      <c r="B668" s="1" t="s">
        <v>3321</v>
      </c>
      <c r="C668" s="1" t="str">
        <f>"9788024639772"</f>
        <v>9788024639772</v>
      </c>
      <c r="D668" s="1" t="str">
        <f>"9788024640037"</f>
        <v>9788024640037</v>
      </c>
      <c r="E668" s="2" t="s">
        <v>3322</v>
      </c>
      <c r="F668" s="2" t="s">
        <v>3323</v>
      </c>
      <c r="G668" s="1" t="s">
        <v>24</v>
      </c>
      <c r="J668" s="1" t="s">
        <v>2285</v>
      </c>
      <c r="K668" s="1" t="s">
        <v>111</v>
      </c>
      <c r="L668" s="1" t="s">
        <v>3324</v>
      </c>
      <c r="M668" s="1" t="s">
        <v>3325</v>
      </c>
      <c r="N668" s="1" t="s">
        <v>3326</v>
      </c>
      <c r="O668" s="1" t="s">
        <v>39</v>
      </c>
      <c r="P668" s="4">
        <v>18.350000000000001</v>
      </c>
      <c r="Q668" s="5">
        <f t="shared" si="30"/>
        <v>22.02</v>
      </c>
      <c r="R668" s="4">
        <v>22.94</v>
      </c>
      <c r="S668" s="5">
        <f t="shared" si="31"/>
        <v>27.528000000000002</v>
      </c>
      <c r="T668" s="4">
        <v>27.52</v>
      </c>
      <c r="U668" s="5">
        <f t="shared" si="32"/>
        <v>33.024000000000001</v>
      </c>
      <c r="V668" s="1" t="s">
        <v>31</v>
      </c>
    </row>
    <row r="669" spans="1:22" x14ac:dyDescent="0.2">
      <c r="A669" s="1">
        <v>5797721</v>
      </c>
      <c r="B669" s="1" t="s">
        <v>3327</v>
      </c>
      <c r="C669" s="1" t="str">
        <f>"9788024638713"</f>
        <v>9788024638713</v>
      </c>
      <c r="D669" s="1" t="str">
        <f>"9788024638966"</f>
        <v>9788024638966</v>
      </c>
      <c r="E669" s="2" t="s">
        <v>3292</v>
      </c>
      <c r="F669" s="2" t="s">
        <v>3323</v>
      </c>
      <c r="G669" s="1" t="s">
        <v>24</v>
      </c>
      <c r="J669" s="1" t="s">
        <v>3328</v>
      </c>
      <c r="K669" s="1" t="s">
        <v>3329</v>
      </c>
      <c r="L669" s="1" t="s">
        <v>3330</v>
      </c>
      <c r="M669" s="1" t="s">
        <v>3331</v>
      </c>
      <c r="N669" s="1" t="s">
        <v>3332</v>
      </c>
      <c r="O669" s="1" t="s">
        <v>30</v>
      </c>
      <c r="P669" s="4">
        <v>18.350000000000001</v>
      </c>
      <c r="Q669" s="5">
        <f t="shared" si="30"/>
        <v>22.02</v>
      </c>
      <c r="R669" s="4">
        <v>22.94</v>
      </c>
      <c r="S669" s="5">
        <f t="shared" si="31"/>
        <v>27.528000000000002</v>
      </c>
      <c r="T669" s="4">
        <v>27.52</v>
      </c>
      <c r="U669" s="5">
        <f t="shared" si="32"/>
        <v>33.024000000000001</v>
      </c>
      <c r="V669" s="1" t="s">
        <v>31</v>
      </c>
    </row>
    <row r="670" spans="1:22" x14ac:dyDescent="0.2">
      <c r="A670" s="1">
        <v>5797722</v>
      </c>
      <c r="B670" s="1" t="s">
        <v>3333</v>
      </c>
      <c r="C670" s="1" t="str">
        <f>"9788024641911"</f>
        <v>9788024641911</v>
      </c>
      <c r="D670" s="1" t="str">
        <f>"9788024642017"</f>
        <v>9788024642017</v>
      </c>
      <c r="E670" s="2" t="s">
        <v>3322</v>
      </c>
      <c r="F670" s="2" t="s">
        <v>3323</v>
      </c>
      <c r="G670" s="1" t="s">
        <v>24</v>
      </c>
      <c r="J670" s="1" t="s">
        <v>936</v>
      </c>
      <c r="K670" s="1" t="s">
        <v>111</v>
      </c>
      <c r="L670" s="1" t="s">
        <v>3334</v>
      </c>
      <c r="M670" s="1" t="s">
        <v>3335</v>
      </c>
      <c r="N670" s="1" t="s">
        <v>3336</v>
      </c>
      <c r="O670" s="1" t="s">
        <v>39</v>
      </c>
      <c r="P670" s="4">
        <v>20.18</v>
      </c>
      <c r="Q670" s="5">
        <f t="shared" si="30"/>
        <v>24.215999999999998</v>
      </c>
      <c r="R670" s="4">
        <v>25.23</v>
      </c>
      <c r="S670" s="5">
        <f t="shared" si="31"/>
        <v>30.276</v>
      </c>
      <c r="T670" s="4">
        <v>30.28</v>
      </c>
      <c r="U670" s="5">
        <f t="shared" si="32"/>
        <v>36.335999999999999</v>
      </c>
      <c r="V670" s="1" t="s">
        <v>31</v>
      </c>
    </row>
    <row r="671" spans="1:22" x14ac:dyDescent="0.2">
      <c r="A671" s="1">
        <v>5839367</v>
      </c>
      <c r="B671" s="1" t="s">
        <v>3337</v>
      </c>
      <c r="C671" s="1" t="str">
        <f>"9788024640334"</f>
        <v>9788024640334</v>
      </c>
      <c r="D671" s="1" t="str">
        <f>"9788024640396"</f>
        <v>9788024640396</v>
      </c>
      <c r="E671" s="2" t="s">
        <v>3310</v>
      </c>
      <c r="F671" s="2" t="s">
        <v>3338</v>
      </c>
      <c r="G671" s="1" t="s">
        <v>24</v>
      </c>
      <c r="J671" s="1" t="s">
        <v>3339</v>
      </c>
      <c r="K671" s="1" t="s">
        <v>181</v>
      </c>
      <c r="L671" s="1" t="s">
        <v>3340</v>
      </c>
      <c r="M671" s="1" t="s">
        <v>183</v>
      </c>
      <c r="N671" s="1" t="s">
        <v>3341</v>
      </c>
      <c r="O671" s="1" t="s">
        <v>30</v>
      </c>
      <c r="P671" s="4">
        <v>18.350000000000001</v>
      </c>
      <c r="Q671" s="5">
        <f t="shared" si="30"/>
        <v>22.02</v>
      </c>
      <c r="R671" s="4">
        <v>22.94</v>
      </c>
      <c r="S671" s="5">
        <f t="shared" si="31"/>
        <v>27.528000000000002</v>
      </c>
      <c r="T671" s="4">
        <v>27.52</v>
      </c>
      <c r="U671" s="5">
        <f t="shared" si="32"/>
        <v>33.024000000000001</v>
      </c>
      <c r="V671" s="1" t="s">
        <v>31</v>
      </c>
    </row>
    <row r="672" spans="1:22" x14ac:dyDescent="0.2">
      <c r="A672" s="1">
        <v>5844783</v>
      </c>
      <c r="B672" s="1" t="s">
        <v>3342</v>
      </c>
      <c r="C672" s="1" t="str">
        <f>"9788024638799"</f>
        <v>9788024638799</v>
      </c>
      <c r="D672" s="1" t="str">
        <f>"9788024638805"</f>
        <v>9788024638805</v>
      </c>
      <c r="E672" s="2" t="s">
        <v>3343</v>
      </c>
      <c r="F672" s="2" t="s">
        <v>3344</v>
      </c>
      <c r="G672" s="1" t="s">
        <v>24</v>
      </c>
      <c r="J672" s="1" t="s">
        <v>3345</v>
      </c>
      <c r="K672" s="1" t="s">
        <v>111</v>
      </c>
      <c r="L672" s="1" t="s">
        <v>3346</v>
      </c>
      <c r="M672" s="1" t="s">
        <v>3347</v>
      </c>
      <c r="N672" s="1" t="s">
        <v>3348</v>
      </c>
      <c r="O672" s="1" t="s">
        <v>30</v>
      </c>
      <c r="P672" s="4">
        <v>16.510000000000002</v>
      </c>
      <c r="Q672" s="5">
        <f t="shared" si="30"/>
        <v>19.812000000000001</v>
      </c>
      <c r="R672" s="4">
        <v>20.64</v>
      </c>
      <c r="S672" s="5">
        <f t="shared" si="31"/>
        <v>24.768000000000001</v>
      </c>
      <c r="T672" s="4">
        <v>24.77</v>
      </c>
      <c r="U672" s="5">
        <f t="shared" si="32"/>
        <v>29.723999999999997</v>
      </c>
      <c r="V672" s="1" t="s">
        <v>31</v>
      </c>
    </row>
    <row r="673" spans="1:22" x14ac:dyDescent="0.2">
      <c r="A673" s="1">
        <v>5844784</v>
      </c>
      <c r="B673" s="1" t="s">
        <v>3349</v>
      </c>
      <c r="C673" s="1" t="str">
        <f>"9788024639055"</f>
        <v>9788024639055</v>
      </c>
      <c r="D673" s="1" t="str">
        <f>"9788024641379"</f>
        <v>9788024641379</v>
      </c>
      <c r="E673" s="2" t="s">
        <v>3322</v>
      </c>
      <c r="F673" s="2" t="s">
        <v>3344</v>
      </c>
      <c r="G673" s="1" t="s">
        <v>24</v>
      </c>
      <c r="I673" s="1" t="s">
        <v>3214</v>
      </c>
      <c r="J673" s="1" t="s">
        <v>3350</v>
      </c>
      <c r="K673" s="1" t="s">
        <v>341</v>
      </c>
      <c r="L673" s="1" t="s">
        <v>3351</v>
      </c>
      <c r="M673" s="1" t="s">
        <v>2883</v>
      </c>
      <c r="N673" s="1" t="s">
        <v>2884</v>
      </c>
      <c r="O673" s="1" t="s">
        <v>39</v>
      </c>
      <c r="P673" s="4">
        <v>13.76</v>
      </c>
      <c r="Q673" s="5">
        <f t="shared" si="30"/>
        <v>16.512</v>
      </c>
      <c r="R673" s="4">
        <v>17.2</v>
      </c>
      <c r="S673" s="5">
        <f t="shared" si="31"/>
        <v>20.639999999999997</v>
      </c>
      <c r="T673" s="4">
        <v>20.64</v>
      </c>
      <c r="U673" s="5">
        <f t="shared" si="32"/>
        <v>24.768000000000001</v>
      </c>
      <c r="V673" s="1" t="s">
        <v>31</v>
      </c>
    </row>
    <row r="674" spans="1:22" x14ac:dyDescent="0.2">
      <c r="A674" s="1">
        <v>5844785</v>
      </c>
      <c r="B674" s="1" t="s">
        <v>3352</v>
      </c>
      <c r="C674" s="1" t="str">
        <f>"9788024642376"</f>
        <v>9788024642376</v>
      </c>
      <c r="D674" s="1" t="str">
        <f>"9788024642871"</f>
        <v>9788024642871</v>
      </c>
      <c r="E674" s="2" t="s">
        <v>3322</v>
      </c>
      <c r="F674" s="2" t="s">
        <v>3344</v>
      </c>
      <c r="G674" s="1" t="s">
        <v>24</v>
      </c>
      <c r="J674" s="1" t="s">
        <v>3353</v>
      </c>
      <c r="K674" s="1" t="s">
        <v>341</v>
      </c>
      <c r="L674" s="1" t="s">
        <v>3354</v>
      </c>
      <c r="M674" s="1">
        <v>193</v>
      </c>
      <c r="N674" s="1" t="s">
        <v>3355</v>
      </c>
      <c r="O674" s="1" t="s">
        <v>39</v>
      </c>
      <c r="P674" s="4">
        <v>17.43</v>
      </c>
      <c r="Q674" s="5">
        <f t="shared" si="30"/>
        <v>20.916</v>
      </c>
      <c r="R674" s="4">
        <v>21.79</v>
      </c>
      <c r="S674" s="5">
        <f t="shared" si="31"/>
        <v>26.148</v>
      </c>
      <c r="T674" s="4">
        <v>26.15</v>
      </c>
      <c r="U674" s="5">
        <f t="shared" si="32"/>
        <v>31.379999999999995</v>
      </c>
      <c r="V674" s="1" t="s">
        <v>31</v>
      </c>
    </row>
    <row r="675" spans="1:22" x14ac:dyDescent="0.2">
      <c r="A675" s="1">
        <v>5844786</v>
      </c>
      <c r="B675" s="1" t="s">
        <v>3356</v>
      </c>
      <c r="C675" s="1" t="str">
        <f>"9788024642765"</f>
        <v>9788024642765</v>
      </c>
      <c r="D675" s="1" t="str">
        <f>"9788024643076"</f>
        <v>9788024643076</v>
      </c>
      <c r="E675" s="2" t="s">
        <v>3322</v>
      </c>
      <c r="F675" s="2" t="s">
        <v>3344</v>
      </c>
      <c r="G675" s="1" t="s">
        <v>24</v>
      </c>
      <c r="J675" s="1" t="s">
        <v>3357</v>
      </c>
      <c r="K675" s="1" t="s">
        <v>587</v>
      </c>
      <c r="L675" s="1" t="s">
        <v>3358</v>
      </c>
      <c r="M675" s="1" t="s">
        <v>2608</v>
      </c>
      <c r="O675" s="1" t="s">
        <v>30</v>
      </c>
      <c r="P675" s="4">
        <v>13.76</v>
      </c>
      <c r="Q675" s="5">
        <f t="shared" si="30"/>
        <v>16.512</v>
      </c>
      <c r="R675" s="4">
        <v>17.2</v>
      </c>
      <c r="S675" s="5">
        <f t="shared" si="31"/>
        <v>20.639999999999997</v>
      </c>
      <c r="T675" s="4">
        <v>20.64</v>
      </c>
      <c r="U675" s="5">
        <f t="shared" si="32"/>
        <v>24.768000000000001</v>
      </c>
      <c r="V675" s="1" t="s">
        <v>31</v>
      </c>
    </row>
    <row r="676" spans="1:22" x14ac:dyDescent="0.2">
      <c r="A676" s="1">
        <v>5844787</v>
      </c>
      <c r="B676" s="1" t="s">
        <v>3359</v>
      </c>
      <c r="C676" s="1" t="str">
        <f>"9788024633596"</f>
        <v>9788024633596</v>
      </c>
      <c r="D676" s="1" t="str">
        <f>"9788024633916"</f>
        <v>9788024633916</v>
      </c>
      <c r="E676" s="2" t="s">
        <v>2777</v>
      </c>
      <c r="F676" s="2" t="s">
        <v>3344</v>
      </c>
      <c r="G676" s="1" t="s">
        <v>24</v>
      </c>
      <c r="J676" s="1" t="s">
        <v>3360</v>
      </c>
      <c r="K676" s="1" t="s">
        <v>3361</v>
      </c>
      <c r="L676" s="1" t="s">
        <v>3362</v>
      </c>
      <c r="M676" s="1" t="s">
        <v>3363</v>
      </c>
      <c r="N676" s="1" t="s">
        <v>3364</v>
      </c>
      <c r="O676" s="1" t="s">
        <v>39</v>
      </c>
      <c r="P676" s="4">
        <v>16.510000000000002</v>
      </c>
      <c r="Q676" s="5">
        <f t="shared" si="30"/>
        <v>19.812000000000001</v>
      </c>
      <c r="R676" s="4">
        <v>20.64</v>
      </c>
      <c r="S676" s="5">
        <f t="shared" si="31"/>
        <v>24.768000000000001</v>
      </c>
      <c r="T676" s="4">
        <v>24.77</v>
      </c>
      <c r="U676" s="5">
        <f t="shared" si="32"/>
        <v>29.723999999999997</v>
      </c>
      <c r="V676" s="1" t="s">
        <v>31</v>
      </c>
    </row>
    <row r="677" spans="1:22" x14ac:dyDescent="0.2">
      <c r="A677" s="1">
        <v>5844788</v>
      </c>
      <c r="B677" s="1" t="s">
        <v>3365</v>
      </c>
      <c r="C677" s="1" t="str">
        <f>"9788024636269"</f>
        <v>9788024636269</v>
      </c>
      <c r="D677" s="1" t="str">
        <f>"9788024643472"</f>
        <v>9788024643472</v>
      </c>
      <c r="E677" s="2" t="s">
        <v>3322</v>
      </c>
      <c r="F677" s="2" t="s">
        <v>3344</v>
      </c>
      <c r="G677" s="1" t="s">
        <v>24</v>
      </c>
      <c r="I677" s="1" t="s">
        <v>2889</v>
      </c>
      <c r="J677" s="1" t="s">
        <v>3366</v>
      </c>
      <c r="K677" s="1" t="s">
        <v>2934</v>
      </c>
      <c r="L677" s="1" t="s">
        <v>3367</v>
      </c>
      <c r="M677" s="1" t="s">
        <v>1185</v>
      </c>
      <c r="N677" s="1" t="s">
        <v>3368</v>
      </c>
      <c r="O677" s="1" t="s">
        <v>39</v>
      </c>
      <c r="P677" s="4">
        <v>17.43</v>
      </c>
      <c r="Q677" s="5">
        <f t="shared" si="30"/>
        <v>20.916</v>
      </c>
      <c r="R677" s="4">
        <v>21.79</v>
      </c>
      <c r="S677" s="5">
        <f t="shared" si="31"/>
        <v>26.148</v>
      </c>
      <c r="T677" s="4">
        <v>26.15</v>
      </c>
      <c r="U677" s="5">
        <f t="shared" si="32"/>
        <v>31.379999999999995</v>
      </c>
      <c r="V677" s="1" t="s">
        <v>31</v>
      </c>
    </row>
    <row r="678" spans="1:22" x14ac:dyDescent="0.2">
      <c r="A678" s="1">
        <v>5844789</v>
      </c>
      <c r="B678" s="1" t="s">
        <v>3369</v>
      </c>
      <c r="C678" s="1" t="str">
        <f>"9788024620213"</f>
        <v>9788024620213</v>
      </c>
      <c r="D678" s="1" t="str">
        <f>"9788024643700"</f>
        <v>9788024643700</v>
      </c>
      <c r="E678" s="2" t="s">
        <v>3370</v>
      </c>
      <c r="F678" s="2" t="s">
        <v>3344</v>
      </c>
      <c r="G678" s="1" t="s">
        <v>24</v>
      </c>
      <c r="J678" s="1" t="s">
        <v>3371</v>
      </c>
      <c r="K678" s="1" t="s">
        <v>260</v>
      </c>
      <c r="L678" s="1" t="s">
        <v>3372</v>
      </c>
      <c r="M678" s="1" t="s">
        <v>3373</v>
      </c>
      <c r="N678" s="1" t="s">
        <v>3374</v>
      </c>
      <c r="O678" s="1" t="s">
        <v>39</v>
      </c>
      <c r="P678" s="4">
        <v>13.76</v>
      </c>
      <c r="Q678" s="5">
        <f t="shared" si="30"/>
        <v>16.512</v>
      </c>
      <c r="R678" s="4">
        <v>17.2</v>
      </c>
      <c r="S678" s="5">
        <f t="shared" si="31"/>
        <v>20.639999999999997</v>
      </c>
      <c r="T678" s="4">
        <v>20.64</v>
      </c>
      <c r="U678" s="5">
        <f t="shared" si="32"/>
        <v>24.768000000000001</v>
      </c>
      <c r="V678" s="1" t="s">
        <v>31</v>
      </c>
    </row>
    <row r="679" spans="1:22" x14ac:dyDescent="0.2">
      <c r="A679" s="1">
        <v>5844790</v>
      </c>
      <c r="B679" s="1" t="s">
        <v>3375</v>
      </c>
      <c r="C679" s="1" t="str">
        <f>"9788024641928"</f>
        <v>9788024641928</v>
      </c>
      <c r="D679" s="1" t="str">
        <f>"9788024643489"</f>
        <v>9788024643489</v>
      </c>
      <c r="E679" s="2" t="s">
        <v>3322</v>
      </c>
      <c r="F679" s="2" t="s">
        <v>3344</v>
      </c>
      <c r="G679" s="1" t="s">
        <v>24</v>
      </c>
      <c r="J679" s="1" t="s">
        <v>3376</v>
      </c>
      <c r="K679" s="1" t="s">
        <v>111</v>
      </c>
      <c r="L679" s="1" t="s">
        <v>3377</v>
      </c>
      <c r="M679" s="1" t="s">
        <v>2703</v>
      </c>
      <c r="N679" s="1" t="s">
        <v>3378</v>
      </c>
      <c r="O679" s="1" t="s">
        <v>39</v>
      </c>
      <c r="P679" s="4">
        <v>21.1</v>
      </c>
      <c r="Q679" s="5">
        <f t="shared" si="30"/>
        <v>25.32</v>
      </c>
      <c r="R679" s="4">
        <v>26.38</v>
      </c>
      <c r="S679" s="5">
        <f t="shared" si="31"/>
        <v>31.655999999999999</v>
      </c>
      <c r="T679" s="4">
        <v>31.65</v>
      </c>
      <c r="U679" s="5">
        <f t="shared" si="32"/>
        <v>37.979999999999997</v>
      </c>
      <c r="V679" s="1" t="s">
        <v>31</v>
      </c>
    </row>
    <row r="680" spans="1:22" x14ac:dyDescent="0.2">
      <c r="A680" s="1">
        <v>5899552</v>
      </c>
      <c r="B680" s="1" t="s">
        <v>3379</v>
      </c>
      <c r="C680" s="1" t="str">
        <f>"9788024643281"</f>
        <v>9788024643281</v>
      </c>
      <c r="D680" s="1" t="str">
        <f>"9788024643397"</f>
        <v>9788024643397</v>
      </c>
      <c r="E680" s="2" t="s">
        <v>3380</v>
      </c>
      <c r="F680" s="2" t="s">
        <v>3381</v>
      </c>
      <c r="G680" s="1" t="s">
        <v>24</v>
      </c>
      <c r="J680" s="1" t="s">
        <v>3382</v>
      </c>
      <c r="K680" s="1" t="s">
        <v>242</v>
      </c>
      <c r="O680" s="1" t="s">
        <v>39</v>
      </c>
      <c r="P680" s="4">
        <v>13.76</v>
      </c>
      <c r="Q680" s="5">
        <f t="shared" si="30"/>
        <v>16.512</v>
      </c>
      <c r="R680" s="4">
        <v>17.2</v>
      </c>
      <c r="S680" s="5">
        <f t="shared" si="31"/>
        <v>20.639999999999997</v>
      </c>
      <c r="T680" s="4">
        <v>20.64</v>
      </c>
      <c r="U680" s="5">
        <f t="shared" si="32"/>
        <v>24.768000000000001</v>
      </c>
      <c r="V680" s="1" t="s">
        <v>32</v>
      </c>
    </row>
    <row r="681" spans="1:22" x14ac:dyDescent="0.2">
      <c r="A681" s="1">
        <v>5899553</v>
      </c>
      <c r="B681" s="1" t="s">
        <v>3383</v>
      </c>
      <c r="C681" s="1" t="str">
        <f>"9788024642550"</f>
        <v>9788024642550</v>
      </c>
      <c r="D681" s="1" t="str">
        <f>"9788024643182"</f>
        <v>9788024643182</v>
      </c>
      <c r="E681" s="2" t="s">
        <v>3384</v>
      </c>
      <c r="F681" s="2" t="s">
        <v>3381</v>
      </c>
      <c r="G681" s="1" t="s">
        <v>24</v>
      </c>
      <c r="J681" s="1" t="s">
        <v>3385</v>
      </c>
      <c r="K681" s="1" t="s">
        <v>43</v>
      </c>
      <c r="O681" s="1" t="s">
        <v>39</v>
      </c>
      <c r="P681" s="4">
        <v>19.27</v>
      </c>
      <c r="Q681" s="5">
        <f t="shared" si="30"/>
        <v>23.123999999999999</v>
      </c>
      <c r="R681" s="4">
        <v>24.08</v>
      </c>
      <c r="S681" s="5">
        <f t="shared" si="31"/>
        <v>28.895999999999997</v>
      </c>
      <c r="T681" s="4">
        <v>28.9</v>
      </c>
      <c r="U681" s="5">
        <f t="shared" si="32"/>
        <v>34.68</v>
      </c>
      <c r="V681" s="1" t="s">
        <v>32</v>
      </c>
    </row>
    <row r="682" spans="1:22" x14ac:dyDescent="0.2">
      <c r="A682" s="1">
        <v>5899554</v>
      </c>
      <c r="B682" s="1" t="s">
        <v>3386</v>
      </c>
      <c r="C682" s="1" t="str">
        <f>"9788024642949"</f>
        <v>9788024642949</v>
      </c>
      <c r="D682" s="1" t="str">
        <f>"9788024643014"</f>
        <v>9788024643014</v>
      </c>
      <c r="E682" s="2" t="s">
        <v>3322</v>
      </c>
      <c r="F682" s="2" t="s">
        <v>3381</v>
      </c>
      <c r="G682" s="1" t="s">
        <v>24</v>
      </c>
      <c r="J682" s="1" t="s">
        <v>3387</v>
      </c>
      <c r="K682" s="1" t="s">
        <v>43</v>
      </c>
      <c r="O682" s="1" t="s">
        <v>39</v>
      </c>
      <c r="P682" s="4">
        <v>13.76</v>
      </c>
      <c r="Q682" s="5">
        <f t="shared" si="30"/>
        <v>16.512</v>
      </c>
      <c r="R682" s="4">
        <v>17.2</v>
      </c>
      <c r="S682" s="5">
        <f t="shared" si="31"/>
        <v>20.639999999999997</v>
      </c>
      <c r="T682" s="4">
        <v>20.64</v>
      </c>
      <c r="U682" s="5">
        <f t="shared" si="32"/>
        <v>24.768000000000001</v>
      </c>
      <c r="V682" s="1" t="s">
        <v>32</v>
      </c>
    </row>
    <row r="683" spans="1:22" x14ac:dyDescent="0.2">
      <c r="A683" s="1">
        <v>5904700</v>
      </c>
      <c r="B683" s="1" t="s">
        <v>3388</v>
      </c>
      <c r="C683" s="1" t="str">
        <f>"9788024643380"</f>
        <v>9788024643380</v>
      </c>
      <c r="D683" s="1" t="str">
        <f>"9788024644035"</f>
        <v>9788024644035</v>
      </c>
      <c r="E683" s="2" t="s">
        <v>3380</v>
      </c>
      <c r="F683" s="2" t="s">
        <v>3389</v>
      </c>
      <c r="G683" s="1" t="s">
        <v>24</v>
      </c>
      <c r="J683" s="1" t="s">
        <v>3390</v>
      </c>
      <c r="K683" s="1" t="s">
        <v>1516</v>
      </c>
      <c r="L683" s="1" t="s">
        <v>3391</v>
      </c>
      <c r="M683" s="1" t="s">
        <v>3392</v>
      </c>
      <c r="N683" s="1" t="s">
        <v>3393</v>
      </c>
      <c r="O683" s="1" t="s">
        <v>30</v>
      </c>
      <c r="P683" s="4">
        <v>13.76</v>
      </c>
      <c r="Q683" s="5">
        <f t="shared" si="30"/>
        <v>16.512</v>
      </c>
      <c r="R683" s="4">
        <v>17.2</v>
      </c>
      <c r="S683" s="5">
        <f t="shared" si="31"/>
        <v>20.639999999999997</v>
      </c>
      <c r="T683" s="4">
        <v>20.64</v>
      </c>
      <c r="U683" s="5">
        <f t="shared" si="32"/>
        <v>24.768000000000001</v>
      </c>
      <c r="V683" s="1" t="s">
        <v>31</v>
      </c>
    </row>
    <row r="684" spans="1:22" x14ac:dyDescent="0.2">
      <c r="A684" s="1">
        <v>5904701</v>
      </c>
      <c r="B684" s="1" t="s">
        <v>3394</v>
      </c>
      <c r="C684" s="1" t="str">
        <f>"9788024617848"</f>
        <v>9788024617848</v>
      </c>
      <c r="D684" s="1" t="str">
        <f>"9788024643717"</f>
        <v>9788024643717</v>
      </c>
      <c r="E684" s="2" t="s">
        <v>3395</v>
      </c>
      <c r="F684" s="2" t="s">
        <v>3389</v>
      </c>
      <c r="G684" s="1" t="s">
        <v>24</v>
      </c>
      <c r="J684" s="1" t="s">
        <v>3396</v>
      </c>
      <c r="K684" s="1" t="s">
        <v>260</v>
      </c>
      <c r="O684" s="1" t="s">
        <v>39</v>
      </c>
      <c r="P684" s="4">
        <v>13.76</v>
      </c>
      <c r="Q684" s="5">
        <f t="shared" si="30"/>
        <v>16.512</v>
      </c>
      <c r="R684" s="4">
        <v>17.2</v>
      </c>
      <c r="S684" s="5">
        <f t="shared" si="31"/>
        <v>20.639999999999997</v>
      </c>
      <c r="T684" s="4">
        <v>20.64</v>
      </c>
      <c r="U684" s="5">
        <f t="shared" si="32"/>
        <v>24.768000000000001</v>
      </c>
      <c r="V684" s="1" t="s">
        <v>32</v>
      </c>
    </row>
    <row r="685" spans="1:22" x14ac:dyDescent="0.2">
      <c r="A685" s="1">
        <v>5904702</v>
      </c>
      <c r="B685" s="1" t="s">
        <v>3397</v>
      </c>
      <c r="C685" s="1" t="str">
        <f>"9788024643878"</f>
        <v>9788024643878</v>
      </c>
      <c r="D685" s="1" t="str">
        <f>"9788024643946"</f>
        <v>9788024643946</v>
      </c>
      <c r="E685" s="2" t="s">
        <v>3380</v>
      </c>
      <c r="F685" s="2" t="s">
        <v>3389</v>
      </c>
      <c r="G685" s="1" t="s">
        <v>24</v>
      </c>
      <c r="J685" s="1" t="s">
        <v>3398</v>
      </c>
      <c r="K685" s="1" t="s">
        <v>64</v>
      </c>
      <c r="O685" s="1" t="s">
        <v>39</v>
      </c>
      <c r="P685" s="4">
        <v>13.76</v>
      </c>
      <c r="Q685" s="5">
        <f t="shared" si="30"/>
        <v>16.512</v>
      </c>
      <c r="R685" s="4">
        <v>17.2</v>
      </c>
      <c r="S685" s="5">
        <f t="shared" si="31"/>
        <v>20.639999999999997</v>
      </c>
      <c r="T685" s="4">
        <v>20.64</v>
      </c>
      <c r="U685" s="5">
        <f t="shared" si="32"/>
        <v>24.768000000000001</v>
      </c>
      <c r="V685" s="1" t="s">
        <v>32</v>
      </c>
    </row>
    <row r="686" spans="1:22" x14ac:dyDescent="0.2">
      <c r="A686" s="1">
        <v>5904703</v>
      </c>
      <c r="B686" s="1" t="s">
        <v>3399</v>
      </c>
      <c r="C686" s="1" t="str">
        <f>"9788024640228"</f>
        <v>9788024640228</v>
      </c>
      <c r="D686" s="1" t="str">
        <f>"9788024640198"</f>
        <v>9788024640198</v>
      </c>
      <c r="E686" s="2" t="s">
        <v>3400</v>
      </c>
      <c r="F686" s="2" t="s">
        <v>3389</v>
      </c>
      <c r="G686" s="1" t="s">
        <v>24</v>
      </c>
      <c r="J686" s="1" t="s">
        <v>3401</v>
      </c>
      <c r="K686" s="1" t="s">
        <v>72</v>
      </c>
      <c r="M686" s="1" t="s">
        <v>3402</v>
      </c>
      <c r="O686" s="1" t="s">
        <v>39</v>
      </c>
      <c r="P686" s="4">
        <v>13.76</v>
      </c>
      <c r="Q686" s="5">
        <f t="shared" si="30"/>
        <v>16.512</v>
      </c>
      <c r="R686" s="4">
        <v>17.2</v>
      </c>
      <c r="S686" s="5">
        <f t="shared" si="31"/>
        <v>20.639999999999997</v>
      </c>
      <c r="T686" s="4">
        <v>20.64</v>
      </c>
      <c r="U686" s="5">
        <f t="shared" si="32"/>
        <v>24.768000000000001</v>
      </c>
      <c r="V686" s="1" t="s">
        <v>32</v>
      </c>
    </row>
  </sheetData>
  <autoFilter ref="A1:V686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>
    <oddHeader>&amp;L&amp;"Calibri,Obyčejné"E-knihy Karolinum Press</oddHeader>
    <oddFooter>&amp;C&amp;"Calibri,Obyčejné"&amp;12Stránka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A20" sqref="A20"/>
    </sheetView>
  </sheetViews>
  <sheetFormatPr defaultRowHeight="12.75" x14ac:dyDescent="0.2"/>
  <cols>
    <col min="1" max="1" width="88.28515625" style="6" bestFit="1" customWidth="1"/>
    <col min="2" max="2" width="38.140625" style="6" bestFit="1" customWidth="1"/>
    <col min="3" max="16384" width="9.140625" style="6"/>
  </cols>
  <sheetData>
    <row r="1" spans="1:2" ht="15.75" x14ac:dyDescent="0.25">
      <c r="A1" s="7" t="s">
        <v>3414</v>
      </c>
      <c r="B1" s="12"/>
    </row>
    <row r="2" spans="1:2" ht="15" x14ac:dyDescent="0.25">
      <c r="A2" s="12"/>
      <c r="B2" s="12"/>
    </row>
    <row r="3" spans="1:2" ht="15" x14ac:dyDescent="0.25">
      <c r="A3" s="13" t="s">
        <v>3416</v>
      </c>
      <c r="B3" s="12"/>
    </row>
    <row r="4" spans="1:2" ht="15" x14ac:dyDescent="0.25">
      <c r="A4" s="12" t="s">
        <v>3422</v>
      </c>
      <c r="B4" s="12"/>
    </row>
    <row r="5" spans="1:2" ht="15" x14ac:dyDescent="0.25">
      <c r="A5" s="11" t="s">
        <v>3417</v>
      </c>
      <c r="B5" s="12"/>
    </row>
    <row r="6" spans="1:2" ht="15" x14ac:dyDescent="0.25">
      <c r="A6" s="12"/>
      <c r="B6" s="12"/>
    </row>
    <row r="7" spans="1:2" ht="15" x14ac:dyDescent="0.25">
      <c r="A7" s="14" t="s">
        <v>3415</v>
      </c>
      <c r="B7" s="12"/>
    </row>
    <row r="8" spans="1:2" ht="15" x14ac:dyDescent="0.25">
      <c r="A8" s="15" t="s">
        <v>3413</v>
      </c>
      <c r="B8" s="12" t="s">
        <v>21</v>
      </c>
    </row>
    <row r="9" spans="1:2" ht="15" x14ac:dyDescent="0.25">
      <c r="A9" s="15" t="s">
        <v>14</v>
      </c>
      <c r="B9" s="12" t="s">
        <v>3410</v>
      </c>
    </row>
    <row r="10" spans="1:2" ht="15" x14ac:dyDescent="0.25">
      <c r="A10" s="15" t="s">
        <v>15</v>
      </c>
      <c r="B10" s="12" t="s">
        <v>3410</v>
      </c>
    </row>
    <row r="11" spans="1:2" ht="15" x14ac:dyDescent="0.25">
      <c r="A11" s="15" t="s">
        <v>18</v>
      </c>
      <c r="B11" s="12" t="s">
        <v>3411</v>
      </c>
    </row>
    <row r="12" spans="1:2" ht="15" x14ac:dyDescent="0.25">
      <c r="A12" s="15" t="s">
        <v>16</v>
      </c>
      <c r="B12" s="12" t="s">
        <v>3411</v>
      </c>
    </row>
    <row r="13" spans="1:2" ht="15" x14ac:dyDescent="0.25">
      <c r="A13" s="15" t="s">
        <v>17</v>
      </c>
      <c r="B13" s="12" t="s">
        <v>3410</v>
      </c>
    </row>
    <row r="14" spans="1:2" ht="15" x14ac:dyDescent="0.25">
      <c r="A14" s="12"/>
      <c r="B14" s="12"/>
    </row>
    <row r="15" spans="1:2" ht="15" x14ac:dyDescent="0.25">
      <c r="A15" s="12" t="s">
        <v>3412</v>
      </c>
      <c r="B15" s="12"/>
    </row>
    <row r="16" spans="1:2" ht="15" x14ac:dyDescent="0.25">
      <c r="A16" s="12"/>
      <c r="B16" s="12"/>
    </row>
    <row r="17" spans="1:2" ht="15" x14ac:dyDescent="0.25">
      <c r="A17" s="9" t="s">
        <v>3418</v>
      </c>
      <c r="B17" s="12"/>
    </row>
    <row r="18" spans="1:2" ht="15" x14ac:dyDescent="0.25">
      <c r="A18" s="13" t="s">
        <v>3421</v>
      </c>
      <c r="B18" s="12"/>
    </row>
    <row r="19" spans="1:2" ht="15" x14ac:dyDescent="0.25">
      <c r="A19" s="10" t="s">
        <v>3423</v>
      </c>
      <c r="B19" s="12"/>
    </row>
    <row r="20" spans="1:2" ht="15" x14ac:dyDescent="0.25">
      <c r="A20" s="10"/>
      <c r="B20" s="12"/>
    </row>
    <row r="21" spans="1:2" ht="15" x14ac:dyDescent="0.25">
      <c r="A21" s="8" t="s">
        <v>3419</v>
      </c>
      <c r="B21" s="12"/>
    </row>
    <row r="22" spans="1:2" ht="15" x14ac:dyDescent="0.25">
      <c r="A22" s="10" t="s">
        <v>3420</v>
      </c>
      <c r="B22" s="12"/>
    </row>
  </sheetData>
  <hyperlinks>
    <hyperlink ref="A3" r:id="rId1"/>
    <hyperlink ref="A21" r:id="rId2"/>
    <hyperlink ref="A18" r:id="rId3"/>
  </hyperlinks>
  <pageMargins left="0.7" right="0.7" top="0.78740157499999996" bottom="0.78740157499999996" header="0.3" footer="0.3"/>
  <pageSetup paperSize="9" orientation="landscape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20191107</vt:lpstr>
      <vt:lpstr>Poznámky</vt:lpstr>
      <vt:lpstr>'20191107'!Názvy_tisku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POLEDNÍKOVÁ, Lucia</cp:lastModifiedBy>
  <cp:revision>1</cp:revision>
  <cp:lastPrinted>2019-11-07T13:18:12Z</cp:lastPrinted>
  <dcterms:modified xsi:type="dcterms:W3CDTF">2019-11-07T13:18:17Z</dcterms:modified>
  <dc:language>sk-SK</dc:language>
</cp:coreProperties>
</file>